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отчет 13г" sheetId="1" r:id="rId1"/>
    <sheet name="16 (2)" sheetId="2" r:id="rId2"/>
    <sheet name="16" sheetId="3" r:id="rId3"/>
    <sheet name="ок 5" sheetId="4" r:id="rId4"/>
    <sheet name="Лист3" sheetId="5" r:id="rId5"/>
    <sheet name="отчетдоп" sheetId="6" r:id="rId6"/>
  </sheets>
  <definedNames/>
  <calcPr fullCalcOnLoad="1"/>
</workbook>
</file>

<file path=xl/sharedStrings.xml><?xml version="1.0" encoding="utf-8"?>
<sst xmlns="http://schemas.openxmlformats.org/spreadsheetml/2006/main" count="584" uniqueCount="128">
  <si>
    <t>ЖУ</t>
  </si>
  <si>
    <t>КУ</t>
  </si>
  <si>
    <t>ЖКУ</t>
  </si>
  <si>
    <t>январь</t>
  </si>
  <si>
    <t>февраль</t>
  </si>
  <si>
    <t>март</t>
  </si>
  <si>
    <t>апрель</t>
  </si>
  <si>
    <t>май</t>
  </si>
  <si>
    <t>нач</t>
  </si>
  <si>
    <t>опл</t>
  </si>
  <si>
    <t>Итого</t>
  </si>
  <si>
    <t>Рощинская дом 17</t>
  </si>
  <si>
    <t>Сандалова дом 3</t>
  </si>
  <si>
    <t>Новый Свет дом 32, 33</t>
  </si>
  <si>
    <t>июнь</t>
  </si>
  <si>
    <t>июль</t>
  </si>
  <si>
    <t>август</t>
  </si>
  <si>
    <t>сентябрь</t>
  </si>
  <si>
    <t>октябрь</t>
  </si>
  <si>
    <t>%</t>
  </si>
  <si>
    <t>ноябрь</t>
  </si>
  <si>
    <t>декабрь</t>
  </si>
  <si>
    <t>с01.11-31.12</t>
  </si>
  <si>
    <t>Первомайская 16 за 2013 год</t>
  </si>
  <si>
    <t>Пушкинская 48 за 2013год</t>
  </si>
  <si>
    <t>долг на 31.13</t>
  </si>
  <si>
    <t>долг</t>
  </si>
  <si>
    <t>Итого долг</t>
  </si>
  <si>
    <t>Окуловская дом 5</t>
  </si>
  <si>
    <t>Сандалова</t>
  </si>
  <si>
    <t>с 01.11-31.12</t>
  </si>
  <si>
    <t>недособрано</t>
  </si>
  <si>
    <t>Содержание консьержа</t>
  </si>
  <si>
    <t>Телетрансляция</t>
  </si>
  <si>
    <t>Видеонаблюдение</t>
  </si>
  <si>
    <t>Сверено на 30 ноября</t>
  </si>
  <si>
    <t>с 01.01.13-31.12.13</t>
  </si>
  <si>
    <r>
      <t xml:space="preserve">Коммунальные услуги                  </t>
    </r>
    <r>
      <rPr>
        <sz val="10"/>
        <color indexed="8"/>
        <rFont val="Calibri"/>
        <family val="2"/>
      </rPr>
      <t>(ХВС, ГВС, Водоотведение, Электроснабжение, Отопление)</t>
    </r>
  </si>
  <si>
    <t>Общая сумма  по Жилищно-коммунальным услугам</t>
  </si>
  <si>
    <r>
      <t xml:space="preserve">Жилищные услуги </t>
    </r>
    <r>
      <rPr>
        <sz val="10"/>
        <color indexed="8"/>
        <rFont val="Calibri"/>
        <family val="2"/>
      </rPr>
      <t>(управл домом, сод.дома, текущ.ремонт, уборка и сан.очистка земел. Уч-ка, сод. консъерж, АППЗ, ППЗ,  сод.и ремонт  Лифтов, экспл.общедмов.приборов учета, телетрансляция,радио,видеонаблюдение)</t>
    </r>
  </si>
  <si>
    <t>Сверено на 31 декабря</t>
  </si>
  <si>
    <t>Итого долг на 31 декабря 2013г</t>
  </si>
  <si>
    <t xml:space="preserve">ДПС </t>
  </si>
  <si>
    <t>дпс</t>
  </si>
  <si>
    <t>итого</t>
  </si>
  <si>
    <t xml:space="preserve">Итого </t>
  </si>
  <si>
    <t>с 08.07.11-31.12.12</t>
  </si>
  <si>
    <t>Отчет за 2013год по адресу: СПб, Шушары, ул.Первомайская 16</t>
  </si>
  <si>
    <t>сумма</t>
  </si>
  <si>
    <t>оплата поставщику</t>
  </si>
  <si>
    <t>потребленно домом коммунальных услуг по приборам учета</t>
  </si>
  <si>
    <t>хвс(м3)</t>
  </si>
  <si>
    <t>Эс день (Квт)</t>
  </si>
  <si>
    <t>Эс ночь (Квт)</t>
  </si>
  <si>
    <t>объем потребления</t>
  </si>
  <si>
    <t>Недособрано денег за коммунальные услуги от жителей</t>
  </si>
  <si>
    <t>за 2013год</t>
  </si>
  <si>
    <t>водоотв</t>
  </si>
  <si>
    <t>по счетч</t>
  </si>
  <si>
    <t>по начисл</t>
  </si>
  <si>
    <t>эс день/ночь</t>
  </si>
  <si>
    <t>хвс счетчики с 1 авг 12г</t>
  </si>
  <si>
    <t>отопление</t>
  </si>
  <si>
    <t>гвс по начисл</t>
  </si>
  <si>
    <t>водоотведение</t>
  </si>
  <si>
    <t>гвс(Гкал)</t>
  </si>
  <si>
    <t>отопление (Гкал)</t>
  </si>
  <si>
    <t>Зад-ть на 1 января 2013г</t>
  </si>
  <si>
    <t>Итого за 2013г.</t>
  </si>
  <si>
    <t>Всего</t>
  </si>
  <si>
    <t>Задолженность жителей на 31 декабря 2013года составила</t>
  </si>
  <si>
    <t>За оказанные Жилищные услуги</t>
  </si>
  <si>
    <t>начислено</t>
  </si>
  <si>
    <t>оплачено</t>
  </si>
  <si>
    <t>задолженность 2012 год</t>
  </si>
  <si>
    <t>расходы</t>
  </si>
  <si>
    <t>материалы и оборудование</t>
  </si>
  <si>
    <t>заработная плата</t>
  </si>
  <si>
    <t>Тех. Обсл.лифта</t>
  </si>
  <si>
    <t>Текущий ремонт</t>
  </si>
  <si>
    <t>Содерж.общ.имущества</t>
  </si>
  <si>
    <t>Уборка и сан очистка зем. Участка</t>
  </si>
  <si>
    <t>Содержание и ремонт ПЗУ</t>
  </si>
  <si>
    <t>Содержание и ремонт АППЗ</t>
  </si>
  <si>
    <t>Управление домом</t>
  </si>
  <si>
    <t>Содержание ППЗ</t>
  </si>
  <si>
    <t>Эксплуатация  приборов учета</t>
  </si>
  <si>
    <t>Уборка помещения</t>
  </si>
  <si>
    <t>Радио</t>
  </si>
  <si>
    <t>ИТОГО</t>
  </si>
  <si>
    <t>За предоставленные  Коммунальные услуги</t>
  </si>
  <si>
    <t>Отопление</t>
  </si>
  <si>
    <t>Предварительный итог:</t>
  </si>
  <si>
    <t>Взаимозачет с ООО "СК"Дальпитерстрой"</t>
  </si>
  <si>
    <t>Всего по дому за ЖКУ</t>
  </si>
  <si>
    <t>2013г</t>
  </si>
  <si>
    <t>задолженность 2013 год</t>
  </si>
  <si>
    <t>Аренда</t>
  </si>
  <si>
    <t>Пени</t>
  </si>
  <si>
    <t>Гос.пошлина</t>
  </si>
  <si>
    <t>Холодная вода+ОДН</t>
  </si>
  <si>
    <t>Горячая вода+ОДН</t>
  </si>
  <si>
    <t>Электроэнергия день/ночь+ОДН</t>
  </si>
  <si>
    <t>Водоотведение+ОДН</t>
  </si>
  <si>
    <t>Финансовый отчет с 1 января 2013г по 31 декабря 2013г.                                                                                      Первомайская дом 16</t>
  </si>
  <si>
    <t>Услуги</t>
  </si>
  <si>
    <t>Всего ЖКУ за 2013г.</t>
  </si>
  <si>
    <t>Финансовый отчет с 1 января 2013г по 31 декабря 2013г. Первомайская дом 16</t>
  </si>
  <si>
    <t>За предоставленные  Коммунальные услуги с февраля по 31 января 14 года</t>
  </si>
  <si>
    <t>Отопление+ОДН</t>
  </si>
  <si>
    <t>Управление многокварт.домом</t>
  </si>
  <si>
    <t>Соц.найм</t>
  </si>
  <si>
    <t>дпс-30002,21</t>
  </si>
  <si>
    <t>задолженность за предыдущий период</t>
  </si>
  <si>
    <t>Всего с учетом задолженности</t>
  </si>
  <si>
    <t>недополучено</t>
  </si>
  <si>
    <t xml:space="preserve">затраты </t>
  </si>
  <si>
    <t>за год</t>
  </si>
  <si>
    <t>РКО,благотв-сть,представ,и  иные расходы</t>
  </si>
  <si>
    <t>Вывоз ТБО, уборка лест.клет, дератиз,материалы,з/п</t>
  </si>
  <si>
    <t>за месяц</t>
  </si>
  <si>
    <t>примечание</t>
  </si>
  <si>
    <t>Отчет за 2013г од по адресу: СПб, Шушары, ул.Первомайская 16</t>
  </si>
  <si>
    <r>
      <t xml:space="preserve">Коммунальные услуги </t>
    </r>
    <r>
      <rPr>
        <sz val="10"/>
        <color indexed="8"/>
        <rFont val="Calibri"/>
        <family val="2"/>
      </rPr>
      <t>(ХВС, ГВС, Водоотведение, Электроснабжение, Отопление)</t>
    </r>
  </si>
  <si>
    <t>ИТОГО по ЖКУ</t>
  </si>
  <si>
    <t>Задолженность за предыдущий период</t>
  </si>
  <si>
    <t>Итого за 2013 г.</t>
  </si>
  <si>
    <t>Задолженность жителей на 31 декабря 2013 года составляет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</si>
</sst>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0.00000"/>
    <numFmt numFmtId="167" formatCode="0.0000"/>
    <numFmt numFmtId="168" formatCode="0.000"/>
    <numFmt numFmtId="169" formatCode="#,##0.00_р_."/>
    <numFmt numFmtId="170" formatCode="#,##0.00&quot;р.&quot;;[Red]#,##0.00&quot;р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4"/>
      <color indexed="10"/>
      <name val="Calibri"/>
      <family val="2"/>
    </font>
    <font>
      <b/>
      <i/>
      <sz val="16"/>
      <color indexed="8"/>
      <name val="Calibri"/>
      <family val="2"/>
    </font>
    <font>
      <i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4"/>
      <color rgb="FFFF0000"/>
      <name val="Calibri"/>
      <family val="2"/>
    </font>
    <font>
      <b/>
      <i/>
      <sz val="18"/>
      <color theme="1"/>
      <name val="Calibri"/>
      <family val="2"/>
    </font>
    <font>
      <b/>
      <i/>
      <sz val="16"/>
      <color theme="1"/>
      <name val="Calibri"/>
      <family val="2"/>
    </font>
    <font>
      <i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164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Border="1" applyAlignment="1">
      <alignment/>
    </xf>
    <xf numFmtId="164" fontId="54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164" fontId="55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center" vertical="center"/>
    </xf>
    <xf numFmtId="169" fontId="55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Fill="1" applyBorder="1" applyAlignment="1">
      <alignment/>
    </xf>
    <xf numFmtId="164" fontId="0" fillId="0" borderId="10" xfId="0" applyNumberFormat="1" applyBorder="1" applyAlignment="1">
      <alignment horizontal="center" vertical="center"/>
    </xf>
    <xf numFmtId="164" fontId="44" fillId="0" borderId="0" xfId="0" applyNumberFormat="1" applyFont="1" applyAlignment="1">
      <alignment/>
    </xf>
    <xf numFmtId="2" fontId="56" fillId="0" borderId="0" xfId="0" applyNumberFormat="1" applyFont="1" applyBorder="1" applyAlignment="1">
      <alignment/>
    </xf>
    <xf numFmtId="164" fontId="0" fillId="34" borderId="10" xfId="0" applyNumberFormat="1" applyFill="1" applyBorder="1" applyAlignment="1">
      <alignment/>
    </xf>
    <xf numFmtId="164" fontId="44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69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164" fontId="55" fillId="34" borderId="10" xfId="0" applyNumberFormat="1" applyFont="1" applyFill="1" applyBorder="1" applyAlignment="1">
      <alignment/>
    </xf>
    <xf numFmtId="169" fontId="0" fillId="0" borderId="12" xfId="0" applyNumberFormat="1" applyFill="1" applyBorder="1" applyAlignment="1">
      <alignment/>
    </xf>
    <xf numFmtId="4" fontId="44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44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164" fontId="44" fillId="0" borderId="10" xfId="0" applyNumberFormat="1" applyFont="1" applyFill="1" applyBorder="1" applyAlignment="1">
      <alignment/>
    </xf>
    <xf numFmtId="164" fontId="44" fillId="34" borderId="1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57" fillId="33" borderId="1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164" fontId="0" fillId="33" borderId="13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/>
    </xf>
    <xf numFmtId="0" fontId="0" fillId="33" borderId="14" xfId="0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164" fontId="44" fillId="33" borderId="0" xfId="0" applyNumberFormat="1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4" fontId="0" fillId="34" borderId="14" xfId="0" applyNumberFormat="1" applyFill="1" applyBorder="1" applyAlignment="1">
      <alignment horizontal="center" vertical="center"/>
    </xf>
    <xf numFmtId="0" fontId="58" fillId="33" borderId="17" xfId="0" applyFont="1" applyFill="1" applyBorder="1" applyAlignment="1">
      <alignment/>
    </xf>
    <xf numFmtId="0" fontId="58" fillId="33" borderId="18" xfId="0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33" borderId="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0" fillId="33" borderId="1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164" fontId="44" fillId="33" borderId="10" xfId="0" applyNumberFormat="1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69" fontId="44" fillId="0" borderId="0" xfId="0" applyNumberFormat="1" applyFont="1" applyFill="1" applyBorder="1" applyAlignment="1">
      <alignment/>
    </xf>
    <xf numFmtId="164" fontId="44" fillId="0" borderId="10" xfId="0" applyNumberFormat="1" applyFont="1" applyBorder="1" applyAlignment="1">
      <alignment horizontal="center"/>
    </xf>
    <xf numFmtId="0" fontId="59" fillId="0" borderId="10" xfId="0" applyFont="1" applyFill="1" applyBorder="1" applyAlignment="1">
      <alignment horizontal="left"/>
    </xf>
    <xf numFmtId="164" fontId="59" fillId="0" borderId="10" xfId="0" applyNumberFormat="1" applyFont="1" applyFill="1" applyBorder="1" applyAlignment="1">
      <alignment horizontal="center"/>
    </xf>
    <xf numFmtId="169" fontId="44" fillId="0" borderId="12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59" fillId="0" borderId="12" xfId="0" applyFont="1" applyFill="1" applyBorder="1" applyAlignment="1">
      <alignment horizontal="left"/>
    </xf>
    <xf numFmtId="169" fontId="57" fillId="0" borderId="12" xfId="0" applyNumberFormat="1" applyFont="1" applyFill="1" applyBorder="1" applyAlignment="1">
      <alignment horizontal="center"/>
    </xf>
    <xf numFmtId="169" fontId="5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/>
    </xf>
    <xf numFmtId="170" fontId="44" fillId="0" borderId="10" xfId="0" applyNumberFormat="1" applyFont="1" applyBorder="1" applyAlignment="1">
      <alignment horizontal="center"/>
    </xf>
    <xf numFmtId="170" fontId="60" fillId="0" borderId="10" xfId="0" applyNumberFormat="1" applyFont="1" applyBorder="1" applyAlignment="1">
      <alignment horizontal="center"/>
    </xf>
    <xf numFmtId="169" fontId="0" fillId="33" borderId="10" xfId="0" applyNumberFormat="1" applyFill="1" applyBorder="1" applyAlignment="1">
      <alignment horizontal="center"/>
    </xf>
    <xf numFmtId="169" fontId="0" fillId="33" borderId="15" xfId="0" applyNumberFormat="1" applyFill="1" applyBorder="1" applyAlignment="1">
      <alignment horizontal="center"/>
    </xf>
    <xf numFmtId="4" fontId="44" fillId="33" borderId="10" xfId="0" applyNumberFormat="1" applyFont="1" applyFill="1" applyBorder="1" applyAlignment="1">
      <alignment horizontal="center"/>
    </xf>
    <xf numFmtId="169" fontId="44" fillId="33" borderId="15" xfId="0" applyNumberFormat="1" applyFont="1" applyFill="1" applyBorder="1" applyAlignment="1">
      <alignment horizontal="center"/>
    </xf>
    <xf numFmtId="0" fontId="61" fillId="0" borderId="19" xfId="0" applyFont="1" applyBorder="1" applyAlignment="1">
      <alignment wrapText="1"/>
    </xf>
    <xf numFmtId="170" fontId="54" fillId="34" borderId="0" xfId="0" applyNumberFormat="1" applyFont="1" applyFill="1" applyBorder="1" applyAlignment="1">
      <alignment horizontal="center"/>
    </xf>
    <xf numFmtId="170" fontId="0" fillId="33" borderId="0" xfId="0" applyNumberFormat="1" applyFont="1" applyFill="1" applyBorder="1" applyAlignment="1">
      <alignment horizontal="center"/>
    </xf>
    <xf numFmtId="170" fontId="44" fillId="0" borderId="15" xfId="0" applyNumberFormat="1" applyFont="1" applyBorder="1" applyAlignment="1">
      <alignment horizontal="center"/>
    </xf>
    <xf numFmtId="0" fontId="61" fillId="0" borderId="10" xfId="0" applyFont="1" applyBorder="1" applyAlignment="1">
      <alignment/>
    </xf>
    <xf numFmtId="170" fontId="60" fillId="0" borderId="10" xfId="0" applyNumberFormat="1" applyFont="1" applyFill="1" applyBorder="1" applyAlignment="1">
      <alignment horizontal="center"/>
    </xf>
    <xf numFmtId="170" fontId="60" fillId="0" borderId="15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70" fontId="0" fillId="33" borderId="10" xfId="0" applyNumberForma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170" fontId="44" fillId="33" borderId="10" xfId="0" applyNumberFormat="1" applyFont="1" applyFill="1" applyBorder="1" applyAlignment="1">
      <alignment horizontal="center"/>
    </xf>
    <xf numFmtId="170" fontId="60" fillId="33" borderId="10" xfId="0" applyNumberFormat="1" applyFont="1" applyFill="1" applyBorder="1" applyAlignment="1">
      <alignment horizontal="center"/>
    </xf>
    <xf numFmtId="164" fontId="60" fillId="33" borderId="10" xfId="0" applyNumberFormat="1" applyFont="1" applyFill="1" applyBorder="1" applyAlignment="1">
      <alignment/>
    </xf>
    <xf numFmtId="0" fontId="61" fillId="33" borderId="2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4" fontId="0" fillId="33" borderId="10" xfId="0" applyNumberFormat="1" applyFill="1" applyBorder="1" applyAlignment="1">
      <alignment/>
    </xf>
    <xf numFmtId="170" fontId="26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 vertical="center"/>
    </xf>
    <xf numFmtId="170" fontId="44" fillId="33" borderId="10" xfId="0" applyNumberFormat="1" applyFont="1" applyFill="1" applyBorder="1" applyAlignment="1">
      <alignment/>
    </xf>
    <xf numFmtId="169" fontId="44" fillId="33" borderId="10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170" fontId="0" fillId="0" borderId="0" xfId="0" applyNumberFormat="1" applyAlignment="1">
      <alignment/>
    </xf>
    <xf numFmtId="164" fontId="44" fillId="0" borderId="10" xfId="0" applyNumberFormat="1" applyFont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 wrapText="1"/>
    </xf>
    <xf numFmtId="0" fontId="57" fillId="0" borderId="19" xfId="0" applyFont="1" applyBorder="1" applyAlignment="1">
      <alignment horizontal="center" vertical="center" wrapText="1"/>
    </xf>
    <xf numFmtId="0" fontId="63" fillId="0" borderId="21" xfId="0" applyFont="1" applyBorder="1" applyAlignment="1">
      <alignment/>
    </xf>
    <xf numFmtId="169" fontId="0" fillId="34" borderId="10" xfId="0" applyNumberFormat="1" applyFill="1" applyBorder="1" applyAlignment="1">
      <alignment horizontal="center"/>
    </xf>
    <xf numFmtId="169" fontId="26" fillId="33" borderId="10" xfId="0" applyNumberFormat="1" applyFont="1" applyFill="1" applyBorder="1" applyAlignment="1">
      <alignment horizontal="center" vertical="center" wrapText="1"/>
    </xf>
    <xf numFmtId="169" fontId="60" fillId="33" borderId="10" xfId="0" applyNumberFormat="1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left"/>
    </xf>
    <xf numFmtId="0" fontId="64" fillId="0" borderId="20" xfId="0" applyFont="1" applyFill="1" applyBorder="1" applyAlignment="1">
      <alignment horizontal="left"/>
    </xf>
    <xf numFmtId="164" fontId="59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left"/>
    </xf>
    <xf numFmtId="169" fontId="5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59" fillId="33" borderId="19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64" fillId="33" borderId="16" xfId="0" applyFont="1" applyFill="1" applyBorder="1" applyAlignment="1">
      <alignment horizontal="left"/>
    </xf>
    <xf numFmtId="0" fontId="64" fillId="33" borderId="20" xfId="0" applyFont="1" applyFill="1" applyBorder="1" applyAlignment="1">
      <alignment horizontal="left"/>
    </xf>
    <xf numFmtId="169" fontId="44" fillId="34" borderId="10" xfId="0" applyNumberFormat="1" applyFont="1" applyFill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59" fillId="33" borderId="10" xfId="0" applyFont="1" applyFill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left"/>
    </xf>
    <xf numFmtId="0" fontId="64" fillId="34" borderId="20" xfId="0" applyFont="1" applyFill="1" applyBorder="1" applyAlignment="1">
      <alignment horizontal="left"/>
    </xf>
    <xf numFmtId="164" fontId="44" fillId="34" borderId="10" xfId="0" applyNumberFormat="1" applyFont="1" applyFill="1" applyBorder="1" applyAlignment="1">
      <alignment vertical="center"/>
    </xf>
    <xf numFmtId="0" fontId="44" fillId="34" borderId="10" xfId="0" applyFont="1" applyFill="1" applyBorder="1" applyAlignment="1">
      <alignment vertical="center"/>
    </xf>
    <xf numFmtId="169" fontId="44" fillId="33" borderId="10" xfId="0" applyNumberFormat="1" applyFont="1" applyFill="1" applyBorder="1" applyAlignment="1">
      <alignment vertical="center"/>
    </xf>
    <xf numFmtId="0" fontId="64" fillId="33" borderId="19" xfId="0" applyFont="1" applyFill="1" applyBorder="1" applyAlignment="1">
      <alignment horizontal="center"/>
    </xf>
    <xf numFmtId="0" fontId="64" fillId="33" borderId="21" xfId="0" applyFont="1" applyFill="1" applyBorder="1" applyAlignment="1">
      <alignment horizontal="center"/>
    </xf>
    <xf numFmtId="164" fontId="44" fillId="0" borderId="15" xfId="0" applyNumberFormat="1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170" fontId="65" fillId="0" borderId="15" xfId="0" applyNumberFormat="1" applyFont="1" applyFill="1" applyBorder="1" applyAlignment="1">
      <alignment horizontal="center"/>
    </xf>
    <xf numFmtId="170" fontId="65" fillId="0" borderId="19" xfId="0" applyNumberFormat="1" applyFont="1" applyFill="1" applyBorder="1" applyAlignment="1">
      <alignment horizontal="center"/>
    </xf>
    <xf numFmtId="170" fontId="65" fillId="0" borderId="21" xfId="0" applyNumberFormat="1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8" fillId="0" borderId="0" xfId="0" applyFont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wrapText="1"/>
    </xf>
    <xf numFmtId="0" fontId="44" fillId="33" borderId="21" xfId="0" applyFont="1" applyFill="1" applyBorder="1" applyAlignment="1">
      <alignment horizontal="center" wrapText="1"/>
    </xf>
    <xf numFmtId="164" fontId="57" fillId="33" borderId="10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vertical="center"/>
    </xf>
    <xf numFmtId="0" fontId="59" fillId="34" borderId="15" xfId="0" applyFont="1" applyFill="1" applyBorder="1" applyAlignment="1">
      <alignment horizontal="center"/>
    </xf>
    <xf numFmtId="0" fontId="59" fillId="34" borderId="19" xfId="0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 horizontal="center"/>
    </xf>
    <xf numFmtId="164" fontId="59" fillId="0" borderId="15" xfId="0" applyNumberFormat="1" applyFont="1" applyFill="1" applyBorder="1" applyAlignment="1">
      <alignment horizontal="center"/>
    </xf>
    <xf numFmtId="164" fontId="59" fillId="0" borderId="2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145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22.28125" style="0" customWidth="1"/>
    <col min="2" max="2" width="15.7109375" style="0" customWidth="1"/>
    <col min="3" max="3" width="19.140625" style="0" customWidth="1"/>
    <col min="4" max="4" width="21.57421875" style="0" customWidth="1"/>
    <col min="5" max="5" width="20.57421875" style="0" customWidth="1"/>
    <col min="6" max="6" width="15.8515625" style="0" customWidth="1"/>
    <col min="7" max="7" width="14.57421875" style="0" customWidth="1"/>
    <col min="8" max="8" width="14.28125" style="0" customWidth="1"/>
    <col min="9" max="9" width="7.57421875" style="0" customWidth="1"/>
    <col min="10" max="10" width="20.7109375" style="0" customWidth="1"/>
    <col min="11" max="11" width="22.7109375" style="0" customWidth="1"/>
    <col min="12" max="12" width="14.8515625" style="0" customWidth="1"/>
    <col min="13" max="13" width="13.28125" style="0" customWidth="1"/>
    <col min="14" max="14" width="15.57421875" style="0" customWidth="1"/>
  </cols>
  <sheetData>
    <row r="1" spans="1:7" ht="18.75">
      <c r="A1" s="139" t="s">
        <v>47</v>
      </c>
      <c r="B1" s="140"/>
      <c r="C1" s="140"/>
      <c r="D1" s="140"/>
      <c r="E1" s="140"/>
      <c r="F1" s="140"/>
      <c r="G1" s="140"/>
    </row>
    <row r="2" spans="1:9" ht="21">
      <c r="A2" s="155" t="s">
        <v>23</v>
      </c>
      <c r="B2" s="155"/>
      <c r="C2" s="155"/>
      <c r="D2" s="155"/>
      <c r="E2" s="155"/>
      <c r="F2" s="155"/>
      <c r="G2" s="155"/>
      <c r="I2" t="s">
        <v>19</v>
      </c>
    </row>
    <row r="3" spans="1:8" ht="87" customHeight="1">
      <c r="A3" s="1"/>
      <c r="B3" s="158" t="s">
        <v>39</v>
      </c>
      <c r="C3" s="158"/>
      <c r="D3" s="159" t="s">
        <v>37</v>
      </c>
      <c r="E3" s="160"/>
      <c r="F3" s="159" t="s">
        <v>38</v>
      </c>
      <c r="G3" s="160"/>
      <c r="H3" t="s">
        <v>31</v>
      </c>
    </row>
    <row r="4" spans="1:14" ht="15">
      <c r="A4" s="1"/>
      <c r="B4" s="2" t="s">
        <v>8</v>
      </c>
      <c r="C4" s="2" t="s">
        <v>9</v>
      </c>
      <c r="D4" s="2" t="s">
        <v>8</v>
      </c>
      <c r="E4" s="2" t="s">
        <v>9</v>
      </c>
      <c r="F4" s="6" t="s">
        <v>8</v>
      </c>
      <c r="G4" s="6" t="s">
        <v>9</v>
      </c>
      <c r="L4" t="s">
        <v>59</v>
      </c>
      <c r="M4" t="s">
        <v>58</v>
      </c>
      <c r="N4" t="s">
        <v>44</v>
      </c>
    </row>
    <row r="5" spans="1:7" ht="15">
      <c r="A5" s="13" t="s">
        <v>67</v>
      </c>
      <c r="B5" s="36"/>
      <c r="C5" s="73"/>
      <c r="D5" s="73"/>
      <c r="E5" s="73"/>
      <c r="F5" s="79">
        <v>964899.99</v>
      </c>
      <c r="G5" s="79">
        <v>964899.99</v>
      </c>
    </row>
    <row r="6" spans="1:14" ht="15">
      <c r="A6" s="1" t="s">
        <v>3</v>
      </c>
      <c r="B6" s="3">
        <f>430879.42+2754.59</f>
        <v>433634.01</v>
      </c>
      <c r="C6" s="3">
        <f aca="true" t="shared" si="0" ref="C6:C17">B6*I6</f>
        <v>349662.12715998595</v>
      </c>
      <c r="D6" s="3">
        <v>638982.88</v>
      </c>
      <c r="E6" s="3">
        <f aca="true" t="shared" si="1" ref="E6:E17">D6*I6</f>
        <v>515245.82455978036</v>
      </c>
      <c r="F6" s="24">
        <v>940252.84</v>
      </c>
      <c r="G6" s="3">
        <v>758175.79</v>
      </c>
      <c r="H6" s="4">
        <f>F6-G6</f>
        <v>182077.04999999993</v>
      </c>
      <c r="I6" s="10">
        <f>G6*100/F6/100</f>
        <v>0.8063530975349141</v>
      </c>
      <c r="K6" t="s">
        <v>61</v>
      </c>
      <c r="L6" s="4">
        <v>142748.43</v>
      </c>
      <c r="M6" s="4">
        <v>48110.3</v>
      </c>
      <c r="N6" s="4">
        <f>L6+M6</f>
        <v>190858.72999999998</v>
      </c>
    </row>
    <row r="7" spans="1:14" ht="15">
      <c r="A7" s="1" t="s">
        <v>4</v>
      </c>
      <c r="B7" s="3">
        <f>448361.99+1949.59</f>
        <v>450311.58</v>
      </c>
      <c r="C7" s="3">
        <f t="shared" si="0"/>
        <v>319265.27372579125</v>
      </c>
      <c r="D7" s="3">
        <v>774144.18</v>
      </c>
      <c r="E7" s="3">
        <f t="shared" si="1"/>
        <v>548858.5337532919</v>
      </c>
      <c r="F7" s="24">
        <v>1213365.06</v>
      </c>
      <c r="G7" s="3">
        <v>860260.64</v>
      </c>
      <c r="H7" s="4">
        <f aca="true" t="shared" si="2" ref="H7:H17">F7-G7</f>
        <v>353104.42000000004</v>
      </c>
      <c r="I7" s="10">
        <f>G7*100/F7/100</f>
        <v>0.7089874831239988</v>
      </c>
      <c r="K7" t="s">
        <v>63</v>
      </c>
      <c r="L7" s="4">
        <v>546574.66</v>
      </c>
      <c r="M7" s="4"/>
      <c r="N7" s="4">
        <f>L7+M7</f>
        <v>546574.66</v>
      </c>
    </row>
    <row r="8" spans="1:14" ht="15">
      <c r="A8" s="1" t="s">
        <v>5</v>
      </c>
      <c r="B8" s="3">
        <f>444388.42+16747.9-18771.18</f>
        <v>442365.14</v>
      </c>
      <c r="C8" s="3">
        <f t="shared" si="0"/>
        <v>407118.9137647614</v>
      </c>
      <c r="D8" s="3">
        <v>694912.36</v>
      </c>
      <c r="E8" s="3">
        <f t="shared" si="1"/>
        <v>639543.9865919517</v>
      </c>
      <c r="F8" s="24">
        <v>1143913.19</v>
      </c>
      <c r="G8" s="3">
        <v>1052769.88</v>
      </c>
      <c r="H8" s="4">
        <f t="shared" si="2"/>
        <v>91143.31000000006</v>
      </c>
      <c r="I8" s="10">
        <f>G8*100/F8/100</f>
        <v>0.9203232283736494</v>
      </c>
      <c r="K8" t="s">
        <v>57</v>
      </c>
      <c r="L8" s="4"/>
      <c r="M8" s="4"/>
      <c r="N8" s="4">
        <f>L8+M8</f>
        <v>0</v>
      </c>
    </row>
    <row r="9" spans="1:14" ht="15">
      <c r="A9" s="1" t="s">
        <v>6</v>
      </c>
      <c r="B9" s="3">
        <f>443653.42-6233.97</f>
        <v>437419.45</v>
      </c>
      <c r="C9" s="3">
        <f t="shared" si="0"/>
        <v>487613.5220855602</v>
      </c>
      <c r="D9" s="3">
        <v>642316.23</v>
      </c>
      <c r="E9" s="3">
        <f t="shared" si="1"/>
        <v>716022.2966834665</v>
      </c>
      <c r="F9" s="24">
        <v>1070987.14</v>
      </c>
      <c r="G9" s="3">
        <v>1193883.38</v>
      </c>
      <c r="H9" s="4">
        <f t="shared" si="2"/>
        <v>-122896.23999999999</v>
      </c>
      <c r="I9" s="10">
        <f aca="true" t="shared" si="3" ref="I9:I17">G9*100/F9/100</f>
        <v>1.1147504348184796</v>
      </c>
      <c r="K9" t="s">
        <v>60</v>
      </c>
      <c r="L9" s="4">
        <f>643025.17+98771.78</f>
        <v>741796.9500000001</v>
      </c>
      <c r="M9" s="4">
        <v>98771.78</v>
      </c>
      <c r="N9" s="4">
        <f>L9+M9</f>
        <v>840568.7300000001</v>
      </c>
    </row>
    <row r="10" spans="1:14" ht="15">
      <c r="A10" s="1" t="s">
        <v>7</v>
      </c>
      <c r="B10" s="3">
        <f aca="true" t="shared" si="4" ref="B10:B17">F10-D10</f>
        <v>436674.88</v>
      </c>
      <c r="C10" s="3">
        <f t="shared" si="0"/>
        <v>379000.2492141444</v>
      </c>
      <c r="D10" s="3">
        <v>565096.87</v>
      </c>
      <c r="E10" s="3">
        <f t="shared" si="1"/>
        <v>490460.67078585556</v>
      </c>
      <c r="F10" s="24">
        <v>1001771.75</v>
      </c>
      <c r="G10" s="3">
        <v>869460.92</v>
      </c>
      <c r="H10" s="4">
        <f t="shared" si="2"/>
        <v>132310.82999999996</v>
      </c>
      <c r="I10" s="10">
        <f t="shared" si="3"/>
        <v>0.8679231771109537</v>
      </c>
      <c r="K10" t="s">
        <v>62</v>
      </c>
      <c r="L10" s="4">
        <v>3918152.41</v>
      </c>
      <c r="M10" s="4"/>
      <c r="N10" s="4">
        <f>L10+M10</f>
        <v>3918152.41</v>
      </c>
    </row>
    <row r="11" spans="1:14" ht="15">
      <c r="A11" s="1" t="s">
        <v>14</v>
      </c>
      <c r="B11" s="3">
        <f t="shared" si="4"/>
        <v>436812.87999999995</v>
      </c>
      <c r="C11" s="3">
        <f t="shared" si="0"/>
        <v>481849.25708677253</v>
      </c>
      <c r="D11" s="3">
        <v>405765.69</v>
      </c>
      <c r="E11" s="3">
        <f t="shared" si="1"/>
        <v>447601.03291322745</v>
      </c>
      <c r="F11" s="24">
        <v>842578.57</v>
      </c>
      <c r="G11" s="3">
        <v>929450.29</v>
      </c>
      <c r="H11" s="4">
        <f t="shared" si="2"/>
        <v>-86871.72000000009</v>
      </c>
      <c r="I11" s="10">
        <f t="shared" si="3"/>
        <v>1.1031022187046604</v>
      </c>
      <c r="K11" t="s">
        <v>10</v>
      </c>
      <c r="L11" s="4"/>
      <c r="M11" s="4"/>
      <c r="N11" s="30">
        <f>SUM(N6:N10)</f>
        <v>5496154.53</v>
      </c>
    </row>
    <row r="12" spans="1:14" ht="15">
      <c r="A12" s="1" t="s">
        <v>15</v>
      </c>
      <c r="B12" s="3">
        <f t="shared" si="4"/>
        <v>433807.14999999997</v>
      </c>
      <c r="C12" s="3">
        <f t="shared" si="0"/>
        <v>443801.43767540477</v>
      </c>
      <c r="D12" s="3">
        <v>302386.32</v>
      </c>
      <c r="E12" s="3">
        <f t="shared" si="1"/>
        <v>309352.8623245952</v>
      </c>
      <c r="F12" s="24">
        <v>736193.47</v>
      </c>
      <c r="G12" s="3">
        <v>753154.3</v>
      </c>
      <c r="H12" s="4">
        <f t="shared" si="2"/>
        <v>-16960.830000000075</v>
      </c>
      <c r="I12" s="10">
        <f t="shared" si="3"/>
        <v>1.0230385499072683</v>
      </c>
      <c r="J12" s="4"/>
      <c r="L12" s="4"/>
      <c r="M12" s="4"/>
      <c r="N12" s="4"/>
    </row>
    <row r="13" spans="1:14" ht="15">
      <c r="A13" s="1" t="s">
        <v>16</v>
      </c>
      <c r="B13" s="3">
        <f t="shared" si="4"/>
        <v>436430.45</v>
      </c>
      <c r="C13" s="3">
        <f t="shared" si="0"/>
        <v>425940.33166108694</v>
      </c>
      <c r="D13" s="3">
        <v>291712.05</v>
      </c>
      <c r="E13" s="3">
        <f t="shared" si="1"/>
        <v>284700.40833891305</v>
      </c>
      <c r="F13" s="24">
        <v>728142.5</v>
      </c>
      <c r="G13" s="3">
        <v>710640.74</v>
      </c>
      <c r="H13" s="4">
        <f t="shared" si="2"/>
        <v>17501.76000000001</v>
      </c>
      <c r="I13" s="10">
        <f t="shared" si="3"/>
        <v>0.9759638257621276</v>
      </c>
      <c r="L13" s="4"/>
      <c r="M13" s="4"/>
      <c r="N13" s="4"/>
    </row>
    <row r="14" spans="1:10" ht="15">
      <c r="A14" s="1" t="s">
        <v>17</v>
      </c>
      <c r="B14" s="3">
        <f t="shared" si="4"/>
        <v>437919.74</v>
      </c>
      <c r="C14" s="3">
        <f t="shared" si="0"/>
        <v>415588.15140272054</v>
      </c>
      <c r="D14" s="3">
        <v>324421.74</v>
      </c>
      <c r="E14" s="3">
        <f t="shared" si="1"/>
        <v>307877.94859727955</v>
      </c>
      <c r="F14" s="24">
        <v>762341.48</v>
      </c>
      <c r="G14" s="3">
        <v>723466.1</v>
      </c>
      <c r="H14" s="4">
        <f t="shared" si="2"/>
        <v>38875.380000000005</v>
      </c>
      <c r="I14" s="10">
        <f t="shared" si="3"/>
        <v>0.9490052935332866</v>
      </c>
      <c r="J14" s="4"/>
    </row>
    <row r="15" spans="1:9" ht="15">
      <c r="A15" s="1" t="s">
        <v>18</v>
      </c>
      <c r="B15" s="3">
        <f t="shared" si="4"/>
        <v>688290.8200000001</v>
      </c>
      <c r="C15" s="3">
        <f t="shared" si="0"/>
        <v>415323.32323055435</v>
      </c>
      <c r="D15" s="3">
        <v>705674.72</v>
      </c>
      <c r="E15" s="3">
        <f t="shared" si="1"/>
        <v>425812.98676944565</v>
      </c>
      <c r="F15" s="24">
        <v>1393965.54</v>
      </c>
      <c r="G15" s="3">
        <v>841136.31</v>
      </c>
      <c r="H15" s="4">
        <f t="shared" si="2"/>
        <v>552829.23</v>
      </c>
      <c r="I15" s="10">
        <f t="shared" si="3"/>
        <v>0.6034125563821326</v>
      </c>
    </row>
    <row r="16" spans="1:9" ht="15">
      <c r="A16" s="1" t="s">
        <v>20</v>
      </c>
      <c r="B16" s="3">
        <f t="shared" si="4"/>
        <v>450243.93999999994</v>
      </c>
      <c r="C16" s="3">
        <f t="shared" si="0"/>
        <v>304063.6430008673</v>
      </c>
      <c r="D16" s="3">
        <v>715460.94</v>
      </c>
      <c r="E16" s="3">
        <f t="shared" si="1"/>
        <v>483172.8769991328</v>
      </c>
      <c r="F16" s="24">
        <v>1165704.88</v>
      </c>
      <c r="G16" s="3">
        <v>787236.52</v>
      </c>
      <c r="H16" s="4">
        <f t="shared" si="2"/>
        <v>378468.35999999987</v>
      </c>
      <c r="I16" s="10">
        <f t="shared" si="3"/>
        <v>0.67533089507183</v>
      </c>
    </row>
    <row r="17" spans="1:10" ht="15">
      <c r="A17" s="1" t="s">
        <v>21</v>
      </c>
      <c r="B17" s="3">
        <f t="shared" si="4"/>
        <v>451781.9600000001</v>
      </c>
      <c r="C17" s="3">
        <f t="shared" si="0"/>
        <v>578012.8723639738</v>
      </c>
      <c r="D17" s="3">
        <v>719014.32</v>
      </c>
      <c r="E17" s="3">
        <f t="shared" si="1"/>
        <v>919911.7476360261</v>
      </c>
      <c r="F17" s="24">
        <v>1170796.28</v>
      </c>
      <c r="G17" s="3">
        <f>958013.51+539911.11</f>
        <v>1497924.62</v>
      </c>
      <c r="H17" s="4">
        <f t="shared" si="2"/>
        <v>-327128.3400000001</v>
      </c>
      <c r="I17" s="10">
        <f t="shared" si="3"/>
        <v>1.2794067128399143</v>
      </c>
      <c r="J17" s="4"/>
    </row>
    <row r="18" spans="1:10" ht="15.75" customHeight="1">
      <c r="A18" s="45" t="s">
        <v>68</v>
      </c>
      <c r="B18" s="46">
        <f aca="true" t="shared" si="5" ref="B18:H18">SUM(B6:B17)</f>
        <v>5535692.000000001</v>
      </c>
      <c r="C18" s="46">
        <f t="shared" si="5"/>
        <v>5007239.102371624</v>
      </c>
      <c r="D18" s="46">
        <f t="shared" si="5"/>
        <v>6779888.300000001</v>
      </c>
      <c r="E18" s="46">
        <f t="shared" si="5"/>
        <v>6088561.175952965</v>
      </c>
      <c r="F18" s="46">
        <f>SUM(F6:F17)</f>
        <v>12170012.699999997</v>
      </c>
      <c r="G18" s="46">
        <f>SUM(G6:G17)-G5</f>
        <v>10012659.499999998</v>
      </c>
      <c r="H18" s="9">
        <f t="shared" si="5"/>
        <v>1192453.2099999997</v>
      </c>
      <c r="J18" s="4"/>
    </row>
    <row r="19" spans="1:184" ht="20.25" customHeight="1">
      <c r="A19" s="45" t="s">
        <v>69</v>
      </c>
      <c r="B19" s="76"/>
      <c r="C19" s="74"/>
      <c r="D19" s="24"/>
      <c r="E19" s="24"/>
      <c r="F19" s="76">
        <f>F18</f>
        <v>12170012.699999997</v>
      </c>
      <c r="G19" s="50">
        <f>G18</f>
        <v>10012659.499999998</v>
      </c>
      <c r="H19" s="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</row>
    <row r="20" spans="1:8" ht="21">
      <c r="A20" s="144" t="s">
        <v>70</v>
      </c>
      <c r="B20" s="144"/>
      <c r="C20" s="144"/>
      <c r="D20" s="144"/>
      <c r="E20" s="144"/>
      <c r="F20" s="143">
        <f>F19-G19</f>
        <v>2157353.1999999993</v>
      </c>
      <c r="G20" s="143"/>
      <c r="H20" s="9"/>
    </row>
    <row r="21" spans="1:8" ht="15">
      <c r="A21" s="8"/>
      <c r="B21" s="4"/>
      <c r="C21" s="4"/>
      <c r="D21" s="4"/>
      <c r="E21" s="4"/>
      <c r="F21" s="9"/>
      <c r="G21" s="9"/>
      <c r="H21" s="9"/>
    </row>
    <row r="22" spans="1:8" ht="15">
      <c r="A22" s="8"/>
      <c r="B22" s="4"/>
      <c r="C22" s="4"/>
      <c r="D22" s="4"/>
      <c r="E22" s="4"/>
      <c r="F22" s="9"/>
      <c r="G22" s="9"/>
      <c r="H22" s="9"/>
    </row>
    <row r="23" spans="1:7" ht="18.75">
      <c r="A23" s="141" t="s">
        <v>40</v>
      </c>
      <c r="B23" s="142"/>
      <c r="G23" s="4"/>
    </row>
    <row r="24" spans="1:7" ht="21">
      <c r="A24" s="147" t="s">
        <v>28</v>
      </c>
      <c r="B24" s="148"/>
      <c r="C24" s="148"/>
      <c r="D24" s="148"/>
      <c r="E24" s="148"/>
      <c r="F24" s="148"/>
      <c r="G24" s="148"/>
    </row>
    <row r="25" spans="1:7" ht="18.75">
      <c r="A25" s="1"/>
      <c r="B25" s="149" t="s">
        <v>0</v>
      </c>
      <c r="C25" s="149"/>
      <c r="D25" s="149" t="s">
        <v>1</v>
      </c>
      <c r="E25" s="149"/>
      <c r="F25" s="149" t="s">
        <v>2</v>
      </c>
      <c r="G25" s="149"/>
    </row>
    <row r="26" spans="1:7" ht="15">
      <c r="A26" s="1"/>
      <c r="B26" s="49" t="s">
        <v>8</v>
      </c>
      <c r="C26" s="49" t="s">
        <v>9</v>
      </c>
      <c r="D26" s="49" t="s">
        <v>8</v>
      </c>
      <c r="E26" s="49" t="s">
        <v>9</v>
      </c>
      <c r="F26" s="49" t="s">
        <v>8</v>
      </c>
      <c r="G26" s="49" t="s">
        <v>9</v>
      </c>
    </row>
    <row r="27" spans="1:7" ht="15">
      <c r="A27" s="13" t="s">
        <v>67</v>
      </c>
      <c r="B27" s="73"/>
      <c r="C27" s="73"/>
      <c r="D27" s="73"/>
      <c r="E27" s="73"/>
      <c r="F27" s="79">
        <v>1537310.67</v>
      </c>
      <c r="G27" s="73"/>
    </row>
    <row r="28" spans="1:9" ht="15">
      <c r="A28" s="1" t="s">
        <v>3</v>
      </c>
      <c r="B28" s="3">
        <f>F28-D28</f>
        <v>345295.48</v>
      </c>
      <c r="C28" s="3">
        <f>B28*I28</f>
        <v>245502.92307143507</v>
      </c>
      <c r="D28" s="3">
        <v>474675.88</v>
      </c>
      <c r="E28" s="3">
        <f>I28*D28</f>
        <v>337491.57692856493</v>
      </c>
      <c r="F28" s="3">
        <v>819971.36</v>
      </c>
      <c r="G28" s="24">
        <v>582994.5</v>
      </c>
      <c r="H28" s="4">
        <f>F28-G28</f>
        <v>236976.86</v>
      </c>
      <c r="I28" s="10">
        <f>(G28*100)/F28/100</f>
        <v>0.7109937351958244</v>
      </c>
    </row>
    <row r="29" spans="1:9" ht="15">
      <c r="A29" s="1" t="s">
        <v>4</v>
      </c>
      <c r="B29" s="3">
        <f aca="true" t="shared" si="6" ref="B29:B37">F29-D29</f>
        <v>344247.38999999996</v>
      </c>
      <c r="C29" s="3">
        <f aca="true" t="shared" si="7" ref="C29:C39">B29*I29</f>
        <v>344346.39829041075</v>
      </c>
      <c r="D29" s="3">
        <v>481494.7</v>
      </c>
      <c r="E29" s="3">
        <f aca="true" t="shared" si="8" ref="E29:E39">I29*D29</f>
        <v>481633.1817095893</v>
      </c>
      <c r="F29" s="3">
        <v>825742.09</v>
      </c>
      <c r="G29" s="24">
        <v>825979.58</v>
      </c>
      <c r="H29" s="4">
        <f aca="true" t="shared" si="9" ref="H29:H39">F29-G29</f>
        <v>-237.4899999999907</v>
      </c>
      <c r="I29" s="10">
        <f aca="true" t="shared" si="10" ref="I29:I41">(G29*100)/F29/100</f>
        <v>1.000287607962433</v>
      </c>
    </row>
    <row r="30" spans="1:9" ht="15">
      <c r="A30" s="1" t="s">
        <v>5</v>
      </c>
      <c r="B30" s="3">
        <f t="shared" si="6"/>
        <v>288924.75</v>
      </c>
      <c r="C30" s="3">
        <f t="shared" si="7"/>
        <v>234768.5781027484</v>
      </c>
      <c r="D30" s="3">
        <v>359651.85</v>
      </c>
      <c r="E30" s="3">
        <f t="shared" si="8"/>
        <v>292238.5618972516</v>
      </c>
      <c r="F30" s="3">
        <v>648576.6</v>
      </c>
      <c r="G30" s="24">
        <v>527007.14</v>
      </c>
      <c r="H30" s="4">
        <f t="shared" si="9"/>
        <v>121569.45999999996</v>
      </c>
      <c r="I30" s="10">
        <f t="shared" si="10"/>
        <v>0.8125595958904469</v>
      </c>
    </row>
    <row r="31" spans="1:9" ht="15">
      <c r="A31" s="1" t="s">
        <v>6</v>
      </c>
      <c r="B31" s="3">
        <f t="shared" si="6"/>
        <v>298503.63</v>
      </c>
      <c r="C31" s="3">
        <f t="shared" si="7"/>
        <v>299291.4159132555</v>
      </c>
      <c r="D31" s="3">
        <v>416330.24</v>
      </c>
      <c r="E31" s="3">
        <f t="shared" si="8"/>
        <v>417428.98408674455</v>
      </c>
      <c r="F31" s="3">
        <v>714833.87</v>
      </c>
      <c r="G31" s="24">
        <v>716720.4</v>
      </c>
      <c r="H31" s="4">
        <f t="shared" si="9"/>
        <v>-1886.530000000028</v>
      </c>
      <c r="I31" s="10">
        <f t="shared" si="10"/>
        <v>1.0026391166943447</v>
      </c>
    </row>
    <row r="32" spans="1:9" ht="15">
      <c r="A32" s="1" t="s">
        <v>7</v>
      </c>
      <c r="B32" s="3">
        <f t="shared" si="6"/>
        <v>295697.3</v>
      </c>
      <c r="C32" s="3">
        <f t="shared" si="7"/>
        <v>290341.9198441395</v>
      </c>
      <c r="D32" s="3">
        <v>427808.55</v>
      </c>
      <c r="E32" s="3">
        <f t="shared" si="8"/>
        <v>420060.5001558605</v>
      </c>
      <c r="F32" s="3">
        <v>723505.85</v>
      </c>
      <c r="G32" s="24">
        <v>710402.42</v>
      </c>
      <c r="H32" s="4">
        <f t="shared" si="9"/>
        <v>13103.429999999935</v>
      </c>
      <c r="I32" s="10">
        <f t="shared" si="10"/>
        <v>0.9818889785065318</v>
      </c>
    </row>
    <row r="33" spans="1:9" ht="15">
      <c r="A33" s="1" t="s">
        <v>14</v>
      </c>
      <c r="B33" s="3">
        <f t="shared" si="6"/>
        <v>291243.5</v>
      </c>
      <c r="C33" s="3">
        <f t="shared" si="7"/>
        <v>302952.4995654047</v>
      </c>
      <c r="D33" s="3">
        <v>313951.76</v>
      </c>
      <c r="E33" s="3">
        <f t="shared" si="8"/>
        <v>326573.7104345953</v>
      </c>
      <c r="F33" s="3">
        <v>605195.26</v>
      </c>
      <c r="G33" s="24">
        <v>629526.21</v>
      </c>
      <c r="H33" s="4">
        <f t="shared" si="9"/>
        <v>-24330.949999999953</v>
      </c>
      <c r="I33" s="31">
        <f t="shared" si="10"/>
        <v>1.0402034708599668</v>
      </c>
    </row>
    <row r="34" spans="1:9" ht="15">
      <c r="A34" s="1" t="s">
        <v>15</v>
      </c>
      <c r="B34" s="3">
        <f t="shared" si="6"/>
        <v>301919.47</v>
      </c>
      <c r="C34" s="3">
        <f t="shared" si="7"/>
        <v>272343.400648146</v>
      </c>
      <c r="D34" s="24">
        <v>192074.79</v>
      </c>
      <c r="E34" s="24">
        <f t="shared" si="8"/>
        <v>173259.11935185402</v>
      </c>
      <c r="F34" s="24">
        <v>493994.26</v>
      </c>
      <c r="G34" s="24">
        <v>445602.52</v>
      </c>
      <c r="H34" s="4">
        <f t="shared" si="9"/>
        <v>48391.73999999999</v>
      </c>
      <c r="I34" s="10">
        <f t="shared" si="10"/>
        <v>0.9020398739046077</v>
      </c>
    </row>
    <row r="35" spans="1:9" ht="15">
      <c r="A35" s="1" t="s">
        <v>16</v>
      </c>
      <c r="B35" s="3">
        <f t="shared" si="6"/>
        <v>296055.89999999997</v>
      </c>
      <c r="C35" s="3">
        <f t="shared" si="7"/>
        <v>336494.42783867114</v>
      </c>
      <c r="D35" s="24">
        <v>157042.45</v>
      </c>
      <c r="E35" s="24">
        <f t="shared" si="8"/>
        <v>178493.01216132878</v>
      </c>
      <c r="F35" s="24">
        <v>453098.35</v>
      </c>
      <c r="G35" s="24">
        <v>514987.44</v>
      </c>
      <c r="H35" s="4">
        <f t="shared" si="9"/>
        <v>-61889.090000000026</v>
      </c>
      <c r="I35" s="10">
        <f t="shared" si="10"/>
        <v>1.1365908527364974</v>
      </c>
    </row>
    <row r="36" spans="1:9" ht="15">
      <c r="A36" s="1" t="s">
        <v>17</v>
      </c>
      <c r="B36" s="3">
        <f t="shared" si="6"/>
        <v>295763.9</v>
      </c>
      <c r="C36" s="3">
        <f t="shared" si="7"/>
        <v>214872.58481595764</v>
      </c>
      <c r="D36" s="24">
        <v>316574.75</v>
      </c>
      <c r="E36" s="24">
        <f t="shared" si="8"/>
        <v>229991.67518404234</v>
      </c>
      <c r="F36" s="24">
        <v>612338.65</v>
      </c>
      <c r="G36" s="24">
        <v>444864.26</v>
      </c>
      <c r="H36" s="4">
        <f t="shared" si="9"/>
        <v>167474.39</v>
      </c>
      <c r="I36" s="10">
        <f t="shared" si="10"/>
        <v>0.7265003768747897</v>
      </c>
    </row>
    <row r="37" spans="1:9" ht="15">
      <c r="A37" s="1" t="s">
        <v>18</v>
      </c>
      <c r="B37" s="3">
        <f t="shared" si="6"/>
        <v>300164.45000000007</v>
      </c>
      <c r="C37" s="3">
        <f t="shared" si="7"/>
        <v>245284.45418168043</v>
      </c>
      <c r="D37" s="24">
        <v>451456.36</v>
      </c>
      <c r="E37" s="24">
        <f t="shared" si="8"/>
        <v>368915.19581831957</v>
      </c>
      <c r="F37" s="24">
        <v>751620.81</v>
      </c>
      <c r="G37" s="24">
        <v>614199.65</v>
      </c>
      <c r="H37" s="4">
        <f t="shared" si="9"/>
        <v>137421.16000000003</v>
      </c>
      <c r="I37" s="10">
        <f t="shared" si="10"/>
        <v>0.8171669036146032</v>
      </c>
    </row>
    <row r="38" spans="1:9" ht="15">
      <c r="A38" s="1" t="s">
        <v>20</v>
      </c>
      <c r="B38" s="3">
        <f>F38-D38</f>
        <v>295414.02</v>
      </c>
      <c r="C38" s="3">
        <f t="shared" si="7"/>
        <v>260266.73754289767</v>
      </c>
      <c r="D38" s="24">
        <v>559146.22</v>
      </c>
      <c r="E38" s="24">
        <f t="shared" si="8"/>
        <v>492621.0424571024</v>
      </c>
      <c r="F38" s="24">
        <v>854560.24</v>
      </c>
      <c r="G38" s="24">
        <v>752887.78</v>
      </c>
      <c r="H38" s="4">
        <f t="shared" si="9"/>
        <v>101672.45999999996</v>
      </c>
      <c r="I38" s="10">
        <f t="shared" si="10"/>
        <v>0.8810236479057346</v>
      </c>
    </row>
    <row r="39" spans="1:9" ht="15">
      <c r="A39" s="1" t="s">
        <v>21</v>
      </c>
      <c r="B39" s="3">
        <f>F39-D39</f>
        <v>295957.1</v>
      </c>
      <c r="C39" s="3">
        <f t="shared" si="7"/>
        <v>281774.38284477004</v>
      </c>
      <c r="D39" s="24">
        <v>560913.49</v>
      </c>
      <c r="E39" s="24">
        <f t="shared" si="8"/>
        <v>534033.65715523</v>
      </c>
      <c r="F39" s="24">
        <v>856870.59</v>
      </c>
      <c r="G39" s="24">
        <f>785805.83+30002.21</f>
        <v>815808.0399999999</v>
      </c>
      <c r="H39" s="4">
        <f t="shared" si="9"/>
        <v>41062.55000000005</v>
      </c>
      <c r="I39" s="10">
        <f t="shared" si="10"/>
        <v>0.9520784696321529</v>
      </c>
    </row>
    <row r="40" spans="1:9" ht="15">
      <c r="A40" s="45" t="s">
        <v>68</v>
      </c>
      <c r="B40" s="3">
        <f aca="true" t="shared" si="11" ref="B40:G40">SUM(B28:B39)</f>
        <v>3649186.89</v>
      </c>
      <c r="C40" s="3">
        <f t="shared" si="11"/>
        <v>3328239.722659516</v>
      </c>
      <c r="D40" s="24">
        <f t="shared" si="11"/>
        <v>4711121.040000001</v>
      </c>
      <c r="E40" s="24">
        <f t="shared" si="11"/>
        <v>4252740.217340483</v>
      </c>
      <c r="F40" s="24">
        <f t="shared" si="11"/>
        <v>8360307.93</v>
      </c>
      <c r="G40" s="24">
        <f t="shared" si="11"/>
        <v>7580979.94</v>
      </c>
      <c r="I40" s="10">
        <f t="shared" si="10"/>
        <v>0.9067823821173535</v>
      </c>
    </row>
    <row r="41" spans="1:9" ht="15">
      <c r="A41" s="45" t="s">
        <v>69</v>
      </c>
      <c r="B41" s="4"/>
      <c r="C41" s="4"/>
      <c r="D41" s="4"/>
      <c r="E41" s="4"/>
      <c r="F41" s="3">
        <f>F40+F27</f>
        <v>9897618.6</v>
      </c>
      <c r="G41" s="3">
        <f>G40</f>
        <v>7580979.94</v>
      </c>
      <c r="I41" s="10">
        <f t="shared" si="10"/>
        <v>0.7659397928305703</v>
      </c>
    </row>
    <row r="42" spans="1:7" ht="21">
      <c r="A42" s="144" t="s">
        <v>70</v>
      </c>
      <c r="B42" s="144"/>
      <c r="C42" s="144"/>
      <c r="D42" s="144"/>
      <c r="E42" s="144"/>
      <c r="F42" s="143">
        <f>F41-G41</f>
        <v>2316638.659999999</v>
      </c>
      <c r="G42" s="143"/>
    </row>
    <row r="43" spans="2:7" ht="15">
      <c r="B43" s="4"/>
      <c r="C43" s="4"/>
      <c r="D43" s="4"/>
      <c r="E43" s="4"/>
      <c r="F43" s="4"/>
      <c r="G43" s="4"/>
    </row>
    <row r="44" spans="1:8" ht="18.75">
      <c r="A44" s="141" t="s">
        <v>35</v>
      </c>
      <c r="B44" s="142"/>
      <c r="C44" s="4"/>
      <c r="D44" s="4"/>
      <c r="E44" s="4"/>
      <c r="F44" s="9"/>
      <c r="G44" s="9"/>
      <c r="H44" s="9"/>
    </row>
    <row r="45" spans="1:7" ht="24.75" customHeight="1">
      <c r="A45" s="156" t="s">
        <v>24</v>
      </c>
      <c r="B45" s="157"/>
      <c r="C45" s="157"/>
      <c r="D45" s="157"/>
      <c r="E45" s="157"/>
      <c r="F45" s="157"/>
      <c r="G45" s="157"/>
    </row>
    <row r="46" spans="1:7" ht="18.75">
      <c r="A46" s="1"/>
      <c r="B46" s="149" t="s">
        <v>0</v>
      </c>
      <c r="C46" s="149"/>
      <c r="D46" s="149" t="s">
        <v>1</v>
      </c>
      <c r="E46" s="149"/>
      <c r="F46" s="149" t="s">
        <v>2</v>
      </c>
      <c r="G46" s="149"/>
    </row>
    <row r="47" spans="1:7" ht="15">
      <c r="A47" s="1"/>
      <c r="B47" s="2" t="s">
        <v>8</v>
      </c>
      <c r="C47" s="2" t="s">
        <v>9</v>
      </c>
      <c r="D47" s="2" t="s">
        <v>8</v>
      </c>
      <c r="E47" s="2" t="s">
        <v>9</v>
      </c>
      <c r="F47" s="44" t="s">
        <v>8</v>
      </c>
      <c r="G47" s="44" t="s">
        <v>9</v>
      </c>
    </row>
    <row r="48" spans="1:9" ht="15">
      <c r="A48" s="1" t="s">
        <v>3</v>
      </c>
      <c r="B48" s="3">
        <f>F48-D48</f>
        <v>201808.65000000002</v>
      </c>
      <c r="C48" s="3">
        <f>B48*I48</f>
        <v>150631.15707287416</v>
      </c>
      <c r="D48" s="3">
        <v>549907.47</v>
      </c>
      <c r="E48" s="3">
        <f>D48*I48</f>
        <v>410454.1529271259</v>
      </c>
      <c r="F48" s="3">
        <v>751716.12</v>
      </c>
      <c r="G48" s="3">
        <v>561085.31</v>
      </c>
      <c r="H48" s="4">
        <f>F48-G48</f>
        <v>190630.80999999994</v>
      </c>
      <c r="I48" s="4">
        <f>(G48*100)/F48/100</f>
        <v>0.7464058506554311</v>
      </c>
    </row>
    <row r="49" spans="1:9" ht="15">
      <c r="A49" s="1" t="s">
        <v>4</v>
      </c>
      <c r="B49" s="3">
        <f>207750.16+143.45-66.19</f>
        <v>207827.42</v>
      </c>
      <c r="C49" s="3">
        <f aca="true" t="shared" si="12" ref="C49:C58">B49*I49</f>
        <v>172887.4974184662</v>
      </c>
      <c r="D49" s="3">
        <f>621073.98+372.51-81.59</f>
        <v>621364.9</v>
      </c>
      <c r="E49" s="3">
        <f aca="true" t="shared" si="13" ref="E49:E58">D49*I49</f>
        <v>516901.1025815338</v>
      </c>
      <c r="F49" s="3">
        <f>B49+D49</f>
        <v>829192.3200000001</v>
      </c>
      <c r="G49" s="3">
        <v>689788.6</v>
      </c>
      <c r="H49" s="4">
        <f aca="true" t="shared" si="14" ref="H49:H59">F49-G49</f>
        <v>139403.7200000001</v>
      </c>
      <c r="I49" s="4">
        <f aca="true" t="shared" si="15" ref="I49:I59">(G49*100)/F49/100</f>
        <v>0.8318801119624455</v>
      </c>
    </row>
    <row r="50" spans="1:9" ht="15">
      <c r="A50" s="1" t="s">
        <v>5</v>
      </c>
      <c r="B50" s="3">
        <f>273263.67+4313.15+2688</f>
        <v>280264.82</v>
      </c>
      <c r="C50" s="3">
        <f t="shared" si="12"/>
        <v>195334.75059555564</v>
      </c>
      <c r="D50" s="3">
        <f>763051.58+15526.02-913.02</f>
        <v>777664.58</v>
      </c>
      <c r="E50" s="3">
        <f t="shared" si="13"/>
        <v>542004.9394044444</v>
      </c>
      <c r="F50" s="3">
        <f>B50+D50</f>
        <v>1057929.4</v>
      </c>
      <c r="G50" s="3">
        <v>737339.69</v>
      </c>
      <c r="H50" s="4">
        <f t="shared" si="14"/>
        <v>320589.70999999996</v>
      </c>
      <c r="I50" s="4">
        <f t="shared" si="15"/>
        <v>0.6969649297958824</v>
      </c>
    </row>
    <row r="51" spans="1:9" ht="15">
      <c r="A51" s="1" t="s">
        <v>6</v>
      </c>
      <c r="B51" s="3">
        <f>297144.51+72.51</f>
        <v>297217.02</v>
      </c>
      <c r="C51" s="3">
        <f t="shared" si="12"/>
        <v>210460.5766645157</v>
      </c>
      <c r="D51" s="3">
        <f>869360.95+147.57-7651.89</f>
        <v>861856.6299999999</v>
      </c>
      <c r="E51" s="3">
        <f t="shared" si="13"/>
        <v>610284.1733354843</v>
      </c>
      <c r="F51" s="3">
        <f>B51+D51</f>
        <v>1159073.65</v>
      </c>
      <c r="G51" s="3">
        <v>820744.75</v>
      </c>
      <c r="H51" s="4">
        <f t="shared" si="14"/>
        <v>338328.8999999999</v>
      </c>
      <c r="I51" s="4">
        <f t="shared" si="15"/>
        <v>0.7081040536121239</v>
      </c>
    </row>
    <row r="52" spans="1:9" ht="15">
      <c r="A52" s="1" t="s">
        <v>7</v>
      </c>
      <c r="B52" s="3">
        <f aca="true" t="shared" si="16" ref="B52:B59">F52-D52</f>
        <v>338203.7900000001</v>
      </c>
      <c r="C52" s="3">
        <f t="shared" si="12"/>
        <v>314393.1843645945</v>
      </c>
      <c r="D52" s="3">
        <f>870871.2+1388.9-10426.38-381764.91-900</f>
        <v>479168.81</v>
      </c>
      <c r="E52" s="3">
        <f t="shared" si="13"/>
        <v>445433.82563540555</v>
      </c>
      <c r="F52" s="3">
        <f>1199137.51-381764.91</f>
        <v>817372.6000000001</v>
      </c>
      <c r="G52" s="3">
        <v>759827.01</v>
      </c>
      <c r="H52" s="4">
        <f t="shared" si="14"/>
        <v>57545.590000000084</v>
      </c>
      <c r="I52" s="4">
        <f t="shared" si="15"/>
        <v>0.9295968692858066</v>
      </c>
    </row>
    <row r="53" spans="1:9" ht="15">
      <c r="A53" s="1" t="s">
        <v>14</v>
      </c>
      <c r="B53" s="3">
        <f t="shared" si="16"/>
        <v>408216.24</v>
      </c>
      <c r="C53" s="3">
        <f t="shared" si="12"/>
        <v>319553.7994341208</v>
      </c>
      <c r="D53" s="3">
        <v>340332.24</v>
      </c>
      <c r="E53" s="3">
        <f t="shared" si="13"/>
        <v>266413.8505658792</v>
      </c>
      <c r="F53" s="3">
        <v>748548.48</v>
      </c>
      <c r="G53" s="3">
        <v>585967.65</v>
      </c>
      <c r="H53" s="4">
        <f t="shared" si="14"/>
        <v>162580.82999999996</v>
      </c>
      <c r="I53" s="4">
        <f t="shared" si="15"/>
        <v>0.7828052098910148</v>
      </c>
    </row>
    <row r="54" spans="1:9" ht="15">
      <c r="A54" s="1" t="s">
        <v>15</v>
      </c>
      <c r="B54" s="3">
        <f t="shared" si="16"/>
        <v>439163.55</v>
      </c>
      <c r="C54" s="3">
        <f t="shared" si="12"/>
        <v>438495.26278432156</v>
      </c>
      <c r="D54" s="3">
        <v>386523.09</v>
      </c>
      <c r="E54" s="3">
        <f t="shared" si="13"/>
        <v>385934.9072156785</v>
      </c>
      <c r="F54" s="3">
        <v>825686.64</v>
      </c>
      <c r="G54" s="3">
        <v>824430.17</v>
      </c>
      <c r="H54" s="4">
        <f t="shared" si="14"/>
        <v>1256.469999999972</v>
      </c>
      <c r="I54" s="4">
        <f t="shared" si="15"/>
        <v>0.9984782725805035</v>
      </c>
    </row>
    <row r="55" spans="1:9" ht="15">
      <c r="A55" s="1" t="s">
        <v>16</v>
      </c>
      <c r="B55" s="3">
        <f t="shared" si="16"/>
        <v>466256.24</v>
      </c>
      <c r="C55" s="3">
        <f t="shared" si="12"/>
        <v>415245.45990669774</v>
      </c>
      <c r="D55" s="3">
        <v>336675.73</v>
      </c>
      <c r="E55" s="3">
        <f t="shared" si="13"/>
        <v>299841.7100933023</v>
      </c>
      <c r="F55" s="3">
        <v>802931.97</v>
      </c>
      <c r="G55" s="3">
        <v>715087.17</v>
      </c>
      <c r="H55" s="4">
        <f t="shared" si="14"/>
        <v>87844.79999999993</v>
      </c>
      <c r="I55" s="4">
        <f t="shared" si="15"/>
        <v>0.890594965349306</v>
      </c>
    </row>
    <row r="56" spans="1:9" ht="15">
      <c r="A56" s="1" t="s">
        <v>17</v>
      </c>
      <c r="B56" s="3">
        <f t="shared" si="16"/>
        <v>470106.36</v>
      </c>
      <c r="C56" s="3">
        <f t="shared" si="12"/>
        <v>398139.8383170682</v>
      </c>
      <c r="D56" s="3">
        <v>433254.28</v>
      </c>
      <c r="E56" s="3">
        <f t="shared" si="13"/>
        <v>366929.28168293193</v>
      </c>
      <c r="F56" s="3">
        <v>903360.64</v>
      </c>
      <c r="G56" s="3">
        <v>765069.12</v>
      </c>
      <c r="H56" s="4">
        <f t="shared" si="14"/>
        <v>138291.52000000002</v>
      </c>
      <c r="I56" s="4">
        <f>(G56*100)/F56/100</f>
        <v>0.8469143840493206</v>
      </c>
    </row>
    <row r="57" spans="1:9" ht="15">
      <c r="A57" s="1" t="s">
        <v>18</v>
      </c>
      <c r="B57" s="3">
        <f t="shared" si="16"/>
        <v>475363.47</v>
      </c>
      <c r="C57" s="3">
        <f t="shared" si="12"/>
        <v>321084.5128556194</v>
      </c>
      <c r="D57" s="3">
        <v>1310596.03</v>
      </c>
      <c r="E57" s="3">
        <f t="shared" si="13"/>
        <v>885242.7971443805</v>
      </c>
      <c r="F57" s="3">
        <f>1786535.67-0.01-576.16</f>
        <v>1785959.5</v>
      </c>
      <c r="G57" s="3">
        <v>1206327.31</v>
      </c>
      <c r="H57" s="4">
        <f t="shared" si="14"/>
        <v>579632.19</v>
      </c>
      <c r="I57" s="4">
        <f>(G57*100)/F57/100</f>
        <v>0.6754505407317467</v>
      </c>
    </row>
    <row r="58" spans="1:9" ht="15">
      <c r="A58" s="1" t="s">
        <v>20</v>
      </c>
      <c r="B58" s="3">
        <f t="shared" si="16"/>
        <v>485838.25</v>
      </c>
      <c r="C58" s="3">
        <f t="shared" si="12"/>
        <v>359520.305</v>
      </c>
      <c r="D58" s="3">
        <v>1293893.64</v>
      </c>
      <c r="E58" s="3">
        <f t="shared" si="13"/>
        <v>957481.2935999999</v>
      </c>
      <c r="F58" s="3">
        <v>1779731.89</v>
      </c>
      <c r="G58" s="3">
        <v>1321609.12</v>
      </c>
      <c r="H58" s="4">
        <f t="shared" si="14"/>
        <v>458122.7699999998</v>
      </c>
      <c r="I58" s="4">
        <v>0.74</v>
      </c>
    </row>
    <row r="59" spans="1:9" ht="15">
      <c r="A59" s="1" t="s">
        <v>21</v>
      </c>
      <c r="B59" s="3">
        <f t="shared" si="16"/>
        <v>492348.8699999999</v>
      </c>
      <c r="C59" s="3"/>
      <c r="D59" s="3">
        <v>1260502.1</v>
      </c>
      <c r="E59" s="3"/>
      <c r="F59" s="3">
        <v>1752850.97</v>
      </c>
      <c r="G59" s="3">
        <f>C59+E59</f>
        <v>0</v>
      </c>
      <c r="H59" s="4">
        <f t="shared" si="14"/>
        <v>1752850.97</v>
      </c>
      <c r="I59" s="4">
        <f t="shared" si="15"/>
        <v>0</v>
      </c>
    </row>
    <row r="60" spans="1:8" ht="15.75">
      <c r="A60" s="45" t="s">
        <v>68</v>
      </c>
      <c r="B60" s="18">
        <f aca="true" t="shared" si="17" ref="B60:G60">SUM(B48:B59)</f>
        <v>4562614.680000001</v>
      </c>
      <c r="C60" s="18">
        <f t="shared" si="17"/>
        <v>3295746.344413834</v>
      </c>
      <c r="D60" s="41">
        <f t="shared" si="17"/>
        <v>8651739.5</v>
      </c>
      <c r="E60" s="18">
        <f t="shared" si="17"/>
        <v>5686922.034186166</v>
      </c>
      <c r="F60" s="41">
        <f t="shared" si="17"/>
        <v>13214354.180000002</v>
      </c>
      <c r="G60" s="41">
        <f t="shared" si="17"/>
        <v>8987275.900000002</v>
      </c>
      <c r="H60" s="9"/>
    </row>
    <row r="61" spans="1:8" ht="15.75">
      <c r="A61" s="45" t="s">
        <v>69</v>
      </c>
      <c r="B61" s="16"/>
      <c r="C61" s="16"/>
      <c r="D61" s="16"/>
      <c r="E61" s="16"/>
      <c r="F61" s="16"/>
      <c r="G61" s="16"/>
      <c r="H61" s="11"/>
    </row>
    <row r="62" spans="1:8" ht="15.75">
      <c r="A62" s="15"/>
      <c r="B62" s="16"/>
      <c r="C62" s="16"/>
      <c r="D62" s="16"/>
      <c r="E62" s="16"/>
      <c r="F62" s="16"/>
      <c r="G62" s="16"/>
      <c r="H62" s="11"/>
    </row>
    <row r="63" spans="1:8" ht="15.75">
      <c r="A63" s="15"/>
      <c r="B63" s="16"/>
      <c r="C63" s="16"/>
      <c r="D63" s="16"/>
      <c r="E63" s="16"/>
      <c r="F63" s="16"/>
      <c r="G63" s="16"/>
      <c r="H63" s="11"/>
    </row>
    <row r="64" spans="1:8" ht="15">
      <c r="A64" s="5" t="str">
        <f>A45</f>
        <v>Пушкинская 48 за 2013год</v>
      </c>
      <c r="B64" s="17" t="s">
        <v>8</v>
      </c>
      <c r="C64" s="17" t="s">
        <v>9</v>
      </c>
      <c r="D64" s="17" t="s">
        <v>26</v>
      </c>
      <c r="E64" s="1" t="s">
        <v>27</v>
      </c>
      <c r="F64" s="9"/>
      <c r="G64" s="9"/>
      <c r="H64" s="11"/>
    </row>
    <row r="65" spans="1:8" ht="15.75">
      <c r="A65" s="5" t="s">
        <v>30</v>
      </c>
      <c r="B65" s="3">
        <v>4752978.92</v>
      </c>
      <c r="C65" s="3">
        <v>4040799.74</v>
      </c>
      <c r="D65" s="18">
        <f>B65-C65</f>
        <v>712179.1799999997</v>
      </c>
      <c r="E65" s="163">
        <f>D65+D66</f>
        <v>4939257.459999999</v>
      </c>
      <c r="F65" s="11"/>
      <c r="G65" s="11"/>
      <c r="H65" s="11"/>
    </row>
    <row r="66" spans="1:8" ht="15.75">
      <c r="A66" s="5" t="s">
        <v>25</v>
      </c>
      <c r="B66" s="3">
        <f>F60</f>
        <v>13214354.180000002</v>
      </c>
      <c r="C66" s="3">
        <f>G60</f>
        <v>8987275.900000002</v>
      </c>
      <c r="D66" s="18">
        <f>B66-C66</f>
        <v>4227078.279999999</v>
      </c>
      <c r="E66" s="164"/>
      <c r="F66" s="11"/>
      <c r="G66" s="11"/>
      <c r="H66" s="11"/>
    </row>
    <row r="67" spans="1:8" ht="15">
      <c r="A67" s="11"/>
      <c r="B67" s="12"/>
      <c r="C67" s="12"/>
      <c r="D67" s="12"/>
      <c r="E67" s="12"/>
      <c r="F67" s="11"/>
      <c r="G67" s="11"/>
      <c r="H67" s="11"/>
    </row>
    <row r="70" spans="1:2" ht="18.75">
      <c r="A70" s="150" t="s">
        <v>40</v>
      </c>
      <c r="B70" s="151"/>
    </row>
    <row r="71" spans="1:7" ht="21">
      <c r="A71" s="147" t="s">
        <v>11</v>
      </c>
      <c r="B71" s="148"/>
      <c r="C71" s="148"/>
      <c r="D71" s="148"/>
      <c r="E71" s="148"/>
      <c r="F71" s="148"/>
      <c r="G71" s="148"/>
    </row>
    <row r="72" spans="1:7" ht="15">
      <c r="A72" s="1"/>
      <c r="B72" s="146" t="s">
        <v>0</v>
      </c>
      <c r="C72" s="146"/>
      <c r="D72" s="146" t="s">
        <v>1</v>
      </c>
      <c r="E72" s="146"/>
      <c r="F72" s="146" t="s">
        <v>2</v>
      </c>
      <c r="G72" s="146"/>
    </row>
    <row r="73" spans="1:7" ht="15">
      <c r="A73" s="1"/>
      <c r="B73" s="2" t="s">
        <v>8</v>
      </c>
      <c r="C73" s="2" t="s">
        <v>9</v>
      </c>
      <c r="D73" s="2" t="s">
        <v>8</v>
      </c>
      <c r="E73" s="2" t="s">
        <v>9</v>
      </c>
      <c r="F73" s="7" t="s">
        <v>8</v>
      </c>
      <c r="G73" s="7" t="s">
        <v>9</v>
      </c>
    </row>
    <row r="74" spans="1:7" ht="15">
      <c r="A74" s="13" t="s">
        <v>67</v>
      </c>
      <c r="B74" s="73"/>
      <c r="C74" s="73"/>
      <c r="D74" s="73"/>
      <c r="E74" s="73"/>
      <c r="F74" s="36">
        <v>557029.71</v>
      </c>
      <c r="G74" s="73"/>
    </row>
    <row r="75" spans="1:9" ht="15">
      <c r="A75" s="1" t="s">
        <v>3</v>
      </c>
      <c r="B75" s="19">
        <f>F75-D75</f>
        <v>240121.15999999997</v>
      </c>
      <c r="C75" s="19">
        <f>B75*I75</f>
        <v>203546.61880293683</v>
      </c>
      <c r="D75" s="19">
        <v>411463.84</v>
      </c>
      <c r="E75" s="19">
        <f>D75*I75</f>
        <v>348790.8911970632</v>
      </c>
      <c r="F75" s="19">
        <v>651585</v>
      </c>
      <c r="G75" s="19">
        <v>552337.51</v>
      </c>
      <c r="H75" s="40">
        <f>F75-G75</f>
        <v>99247.48999999999</v>
      </c>
      <c r="I75" s="10">
        <f>(G75*100)/F75/100</f>
        <v>0.8476829730580048</v>
      </c>
    </row>
    <row r="76" spans="1:9" ht="15">
      <c r="A76" s="1" t="s">
        <v>4</v>
      </c>
      <c r="B76" s="19">
        <f aca="true" t="shared" si="18" ref="B76:B86">F76-D76</f>
        <v>261959.75</v>
      </c>
      <c r="C76" s="19">
        <f aca="true" t="shared" si="19" ref="C76:C86">B76*I76</f>
        <v>232484.94572733686</v>
      </c>
      <c r="D76" s="19">
        <v>643326.81</v>
      </c>
      <c r="E76" s="19">
        <f aca="true" t="shared" si="20" ref="E76:E86">D76*I76</f>
        <v>570941.9042726632</v>
      </c>
      <c r="F76" s="19">
        <v>905286.56</v>
      </c>
      <c r="G76" s="19">
        <v>803426.85</v>
      </c>
      <c r="H76" s="40">
        <f aca="true" t="shared" si="21" ref="H76:H86">F76-G76</f>
        <v>101859.71000000008</v>
      </c>
      <c r="I76" s="10">
        <f aca="true" t="shared" si="22" ref="I76:I86">(G76*100)/F76/100</f>
        <v>0.8874834615903278</v>
      </c>
    </row>
    <row r="77" spans="1:9" ht="15">
      <c r="A77" s="1" t="s">
        <v>5</v>
      </c>
      <c r="B77" s="19">
        <f t="shared" si="18"/>
        <v>296137.55999999994</v>
      </c>
      <c r="C77" s="19">
        <f t="shared" si="19"/>
        <v>265294.39670643274</v>
      </c>
      <c r="D77" s="19">
        <v>531987.16</v>
      </c>
      <c r="E77" s="19">
        <f t="shared" si="20"/>
        <v>476579.9132935672</v>
      </c>
      <c r="F77" s="19">
        <v>828124.72</v>
      </c>
      <c r="G77" s="19">
        <v>741874.31</v>
      </c>
      <c r="H77" s="40">
        <f t="shared" si="21"/>
        <v>86250.40999999992</v>
      </c>
      <c r="I77" s="10">
        <f t="shared" si="22"/>
        <v>0.8958485262944451</v>
      </c>
    </row>
    <row r="78" spans="1:9" ht="15">
      <c r="A78" s="1" t="s">
        <v>6</v>
      </c>
      <c r="B78" s="19">
        <f t="shared" si="18"/>
        <v>264756.19000000006</v>
      </c>
      <c r="C78" s="19">
        <f t="shared" si="19"/>
        <v>235901.02910398677</v>
      </c>
      <c r="D78" s="19">
        <v>663039.2</v>
      </c>
      <c r="E78" s="19">
        <f t="shared" si="20"/>
        <v>590776.1008960133</v>
      </c>
      <c r="F78" s="19">
        <v>927795.39</v>
      </c>
      <c r="G78" s="19">
        <v>826677.13</v>
      </c>
      <c r="H78" s="40">
        <f t="shared" si="21"/>
        <v>101118.26000000001</v>
      </c>
      <c r="I78" s="10">
        <f t="shared" si="22"/>
        <v>0.8910123276210717</v>
      </c>
    </row>
    <row r="79" spans="1:9" ht="15">
      <c r="A79" s="1" t="s">
        <v>7</v>
      </c>
      <c r="B79" s="19">
        <f t="shared" si="18"/>
        <v>264929.2</v>
      </c>
      <c r="C79" s="19">
        <f t="shared" si="19"/>
        <v>244763.91244127328</v>
      </c>
      <c r="D79" s="19">
        <v>494168.91</v>
      </c>
      <c r="E79" s="19">
        <f t="shared" si="20"/>
        <v>456554.86755872675</v>
      </c>
      <c r="F79" s="19">
        <v>759098.11</v>
      </c>
      <c r="G79" s="19">
        <v>701318.78</v>
      </c>
      <c r="H79" s="40">
        <f t="shared" si="21"/>
        <v>57779.32999999996</v>
      </c>
      <c r="I79" s="10">
        <f t="shared" si="22"/>
        <v>0.9238842394166942</v>
      </c>
    </row>
    <row r="80" spans="1:9" ht="15">
      <c r="A80" s="1" t="s">
        <v>14</v>
      </c>
      <c r="B80" s="19">
        <f t="shared" si="18"/>
        <v>264929.2</v>
      </c>
      <c r="C80" s="19">
        <f t="shared" si="19"/>
        <v>340927.6471173595</v>
      </c>
      <c r="D80" s="19">
        <v>245895.69</v>
      </c>
      <c r="E80" s="19">
        <f t="shared" si="20"/>
        <v>316434.12288264045</v>
      </c>
      <c r="F80" s="26">
        <v>510824.89</v>
      </c>
      <c r="G80" s="26">
        <v>657361.77</v>
      </c>
      <c r="H80" s="40">
        <f t="shared" si="21"/>
        <v>-146536.88</v>
      </c>
      <c r="I80" s="10">
        <f t="shared" si="22"/>
        <v>1.2868632340918233</v>
      </c>
    </row>
    <row r="81" spans="1:9" ht="15">
      <c r="A81" s="1" t="s">
        <v>15</v>
      </c>
      <c r="B81" s="19">
        <f t="shared" si="18"/>
        <v>262532.04</v>
      </c>
      <c r="C81" s="19">
        <f t="shared" si="19"/>
        <v>401614.47994540574</v>
      </c>
      <c r="D81" s="19">
        <v>163908.63</v>
      </c>
      <c r="E81" s="19">
        <f t="shared" si="20"/>
        <v>250743.03005459422</v>
      </c>
      <c r="F81" s="26">
        <v>426440.67</v>
      </c>
      <c r="G81" s="26">
        <v>652357.51</v>
      </c>
      <c r="H81" s="40">
        <f t="shared" si="21"/>
        <v>-225916.84000000003</v>
      </c>
      <c r="I81" s="10">
        <f t="shared" si="22"/>
        <v>1.5297732038550638</v>
      </c>
    </row>
    <row r="82" spans="1:9" ht="15">
      <c r="A82" s="1" t="s">
        <v>16</v>
      </c>
      <c r="B82" s="19">
        <f t="shared" si="18"/>
        <v>264929.2</v>
      </c>
      <c r="C82" s="19">
        <f t="shared" si="19"/>
        <v>260889.50852757075</v>
      </c>
      <c r="D82" s="19">
        <v>207853.39</v>
      </c>
      <c r="E82" s="19">
        <f t="shared" si="20"/>
        <v>204684.00147242923</v>
      </c>
      <c r="F82" s="26">
        <v>472782.59</v>
      </c>
      <c r="G82" s="26">
        <v>465573.51</v>
      </c>
      <c r="H82" s="40">
        <f t="shared" si="21"/>
        <v>7209.080000000016</v>
      </c>
      <c r="I82" s="10">
        <f t="shared" si="22"/>
        <v>0.9847518073793706</v>
      </c>
    </row>
    <row r="83" spans="1:9" ht="15">
      <c r="A83" s="1" t="s">
        <v>17</v>
      </c>
      <c r="B83" s="19">
        <f t="shared" si="18"/>
        <v>264836.81000000006</v>
      </c>
      <c r="C83" s="19">
        <f t="shared" si="19"/>
        <v>278147.68731295894</v>
      </c>
      <c r="D83" s="19">
        <v>181723.83</v>
      </c>
      <c r="E83" s="19">
        <f t="shared" si="20"/>
        <v>190857.3926870411</v>
      </c>
      <c r="F83" s="26">
        <v>446560.64</v>
      </c>
      <c r="G83" s="26">
        <v>469005.08</v>
      </c>
      <c r="H83" s="40">
        <f t="shared" si="21"/>
        <v>-22444.440000000002</v>
      </c>
      <c r="I83" s="10">
        <f t="shared" si="22"/>
        <v>1.050260676803043</v>
      </c>
    </row>
    <row r="84" spans="1:9" ht="15">
      <c r="A84" s="1" t="s">
        <v>18</v>
      </c>
      <c r="B84" s="19">
        <f t="shared" si="18"/>
        <v>266948.45</v>
      </c>
      <c r="C84" s="19">
        <f t="shared" si="19"/>
        <v>319613.5272730057</v>
      </c>
      <c r="D84" s="19">
        <v>194591.64</v>
      </c>
      <c r="E84" s="19">
        <f t="shared" si="20"/>
        <v>232981.76272699432</v>
      </c>
      <c r="F84" s="26">
        <v>461540.09</v>
      </c>
      <c r="G84" s="26">
        <v>552595.29</v>
      </c>
      <c r="H84" s="40">
        <f t="shared" si="21"/>
        <v>-91055.20000000001</v>
      </c>
      <c r="I84" s="23">
        <f t="shared" si="22"/>
        <v>1.1972855705774117</v>
      </c>
    </row>
    <row r="85" spans="1:9" ht="15">
      <c r="A85" s="1" t="s">
        <v>20</v>
      </c>
      <c r="B85" s="19">
        <f t="shared" si="18"/>
        <v>310134.11</v>
      </c>
      <c r="C85" s="19">
        <f t="shared" si="19"/>
        <v>213165.1667397004</v>
      </c>
      <c r="D85" s="19">
        <v>600980.72</v>
      </c>
      <c r="E85" s="19">
        <f t="shared" si="20"/>
        <v>413073.41326029954</v>
      </c>
      <c r="F85" s="26">
        <v>911114.83</v>
      </c>
      <c r="G85" s="26">
        <f>623638.58+2600</f>
        <v>626238.58</v>
      </c>
      <c r="H85" s="40">
        <f t="shared" si="21"/>
        <v>284876.25</v>
      </c>
      <c r="I85" s="23">
        <f t="shared" si="22"/>
        <v>0.6873322213403111</v>
      </c>
    </row>
    <row r="86" spans="1:9" ht="15">
      <c r="A86" s="1" t="s">
        <v>21</v>
      </c>
      <c r="B86" s="19">
        <f t="shared" si="18"/>
        <v>268898.03</v>
      </c>
      <c r="C86" s="19">
        <f t="shared" si="19"/>
        <v>258157.5545595799</v>
      </c>
      <c r="D86" s="19">
        <v>463770.85</v>
      </c>
      <c r="E86" s="19">
        <f t="shared" si="20"/>
        <v>445246.65544042</v>
      </c>
      <c r="F86" s="26">
        <v>732668.88</v>
      </c>
      <c r="G86" s="26">
        <f>759649.85-56245.64</f>
        <v>703404.21</v>
      </c>
      <c r="H86" s="40">
        <f t="shared" si="21"/>
        <v>29264.670000000042</v>
      </c>
      <c r="I86" s="23">
        <f t="shared" si="22"/>
        <v>0.9600574409547734</v>
      </c>
    </row>
    <row r="87" spans="1:8" ht="15">
      <c r="A87" s="45" t="s">
        <v>68</v>
      </c>
      <c r="B87" s="19">
        <f aca="true" t="shared" si="23" ref="B87:G87">SUM(B75:B86)</f>
        <v>3231111.7</v>
      </c>
      <c r="C87" s="19">
        <f t="shared" si="23"/>
        <v>3254506.474257548</v>
      </c>
      <c r="D87" s="19">
        <f t="shared" si="23"/>
        <v>4802710.67</v>
      </c>
      <c r="E87" s="19">
        <f t="shared" si="23"/>
        <v>4497664.055742453</v>
      </c>
      <c r="F87" s="26">
        <f t="shared" si="23"/>
        <v>8033822.369999999</v>
      </c>
      <c r="G87" s="39">
        <f t="shared" si="23"/>
        <v>7752170.529999999</v>
      </c>
      <c r="H87" s="11"/>
    </row>
    <row r="88" spans="1:8" ht="15">
      <c r="A88" s="45" t="s">
        <v>69</v>
      </c>
      <c r="B88" s="27"/>
      <c r="C88" s="27"/>
      <c r="D88" s="27"/>
      <c r="E88" s="27"/>
      <c r="F88" s="78">
        <f>F87+F74</f>
        <v>8590852.079999998</v>
      </c>
      <c r="G88" s="77">
        <f>G87</f>
        <v>7752170.529999999</v>
      </c>
      <c r="H88" s="11"/>
    </row>
    <row r="89" spans="1:8" ht="21">
      <c r="A89" s="144" t="s">
        <v>70</v>
      </c>
      <c r="B89" s="144"/>
      <c r="C89" s="144"/>
      <c r="D89" s="144"/>
      <c r="E89" s="144"/>
      <c r="F89" s="143">
        <f>F88-G88</f>
        <v>838681.5499999989</v>
      </c>
      <c r="G89" s="143"/>
      <c r="H89" s="75">
        <f>G89-G87</f>
        <v>-7752170.529999999</v>
      </c>
    </row>
    <row r="90" spans="1:8" ht="21">
      <c r="A90" s="80"/>
      <c r="B90" s="80"/>
      <c r="C90" s="80"/>
      <c r="D90" s="80"/>
      <c r="E90" s="80"/>
      <c r="F90" s="81"/>
      <c r="G90" s="81"/>
      <c r="H90" s="75"/>
    </row>
    <row r="91" spans="1:8" ht="15">
      <c r="A91" s="5" t="str">
        <f>A71</f>
        <v>Рощинская дом 17</v>
      </c>
      <c r="B91" s="20" t="s">
        <v>8</v>
      </c>
      <c r="C91" s="20" t="s">
        <v>9</v>
      </c>
      <c r="D91" s="20" t="s">
        <v>26</v>
      </c>
      <c r="E91" s="19" t="s">
        <v>27</v>
      </c>
      <c r="F91" s="19" t="s">
        <v>43</v>
      </c>
      <c r="G91" s="19" t="s">
        <v>44</v>
      </c>
      <c r="H91" s="11"/>
    </row>
    <row r="92" spans="1:8" ht="15.75">
      <c r="A92" s="5" t="s">
        <v>30</v>
      </c>
      <c r="B92" s="19">
        <v>9888224.38</v>
      </c>
      <c r="C92" s="19">
        <v>9331194.67</v>
      </c>
      <c r="D92" s="21">
        <f>B92-C92</f>
        <v>557029.7100000009</v>
      </c>
      <c r="E92" s="165">
        <f>D92+D93</f>
        <v>838681.5500000007</v>
      </c>
      <c r="F92" s="152">
        <v>-56245.64</v>
      </c>
      <c r="G92" s="165">
        <f>E92+F92</f>
        <v>782435.9100000007</v>
      </c>
      <c r="H92" s="11"/>
    </row>
    <row r="93" spans="1:8" ht="15.75">
      <c r="A93" s="5" t="s">
        <v>25</v>
      </c>
      <c r="B93" s="19">
        <f>F87</f>
        <v>8033822.369999999</v>
      </c>
      <c r="C93" s="19">
        <f>G87</f>
        <v>7752170.529999999</v>
      </c>
      <c r="D93" s="21">
        <f>B93-C93</f>
        <v>281651.83999999985</v>
      </c>
      <c r="E93" s="165"/>
      <c r="F93" s="152"/>
      <c r="G93" s="165"/>
      <c r="H93" s="11"/>
    </row>
    <row r="94" spans="1:8" ht="15">
      <c r="A94" s="11"/>
      <c r="B94" s="12"/>
      <c r="C94" s="12"/>
      <c r="D94" s="12"/>
      <c r="E94" s="12">
        <v>785035.922</v>
      </c>
      <c r="F94" s="11"/>
      <c r="G94" s="11"/>
      <c r="H94" s="11"/>
    </row>
    <row r="95" spans="1:5" ht="18.75">
      <c r="A95" s="150" t="s">
        <v>40</v>
      </c>
      <c r="B95" s="151"/>
      <c r="E95" s="40">
        <f>E94-E92</f>
        <v>-53645.628000000725</v>
      </c>
    </row>
    <row r="96" spans="1:7" ht="21">
      <c r="A96" s="147" t="s">
        <v>12</v>
      </c>
      <c r="B96" s="148"/>
      <c r="C96" s="148"/>
      <c r="D96" s="148"/>
      <c r="E96" s="148"/>
      <c r="F96" s="148"/>
      <c r="G96" s="148"/>
    </row>
    <row r="97" spans="1:7" ht="15">
      <c r="A97" s="1"/>
      <c r="B97" s="146" t="s">
        <v>0</v>
      </c>
      <c r="C97" s="146"/>
      <c r="D97" s="146" t="s">
        <v>1</v>
      </c>
      <c r="E97" s="146"/>
      <c r="F97" s="146" t="s">
        <v>2</v>
      </c>
      <c r="G97" s="146"/>
    </row>
    <row r="98" spans="1:7" ht="15">
      <c r="A98" s="1"/>
      <c r="B98" s="2" t="s">
        <v>8</v>
      </c>
      <c r="C98" s="2" t="s">
        <v>9</v>
      </c>
      <c r="D98" s="2" t="s">
        <v>8</v>
      </c>
      <c r="E98" s="2" t="s">
        <v>9</v>
      </c>
      <c r="F98" s="7" t="s">
        <v>8</v>
      </c>
      <c r="G98" s="7" t="s">
        <v>9</v>
      </c>
    </row>
    <row r="99" spans="1:7" ht="15">
      <c r="A99" s="13" t="s">
        <v>67</v>
      </c>
      <c r="B99" s="73"/>
      <c r="C99" s="73"/>
      <c r="D99" s="73"/>
      <c r="E99" s="73"/>
      <c r="F99" s="79">
        <v>417562.35</v>
      </c>
      <c r="G99" s="73"/>
    </row>
    <row r="100" spans="1:9" ht="15">
      <c r="A100" s="1" t="s">
        <v>3</v>
      </c>
      <c r="B100" s="19">
        <f aca="true" t="shared" si="24" ref="B100:B111">F100-D100</f>
        <v>116334.33999999997</v>
      </c>
      <c r="C100" s="19">
        <f>B100*I100</f>
        <v>40239.81140571358</v>
      </c>
      <c r="D100" s="19">
        <v>389847.65</v>
      </c>
      <c r="E100" s="19">
        <f>D100*I100</f>
        <v>134847.50859428645</v>
      </c>
      <c r="F100" s="39">
        <v>506181.99</v>
      </c>
      <c r="G100" s="19">
        <v>175087.32</v>
      </c>
      <c r="H100" s="40">
        <f>F100-G100</f>
        <v>331094.67</v>
      </c>
      <c r="I100" s="10">
        <f>(G100*100)/F100/100</f>
        <v>0.345897964485066</v>
      </c>
    </row>
    <row r="101" spans="1:9" ht="15">
      <c r="A101" s="1" t="s">
        <v>4</v>
      </c>
      <c r="B101" s="19">
        <f t="shared" si="24"/>
        <v>98773.57999999999</v>
      </c>
      <c r="C101" s="19">
        <f aca="true" t="shared" si="25" ref="C101:C111">B101*I101</f>
        <v>82684.39952080662</v>
      </c>
      <c r="D101" s="19">
        <v>255379.91</v>
      </c>
      <c r="E101" s="19">
        <f aca="true" t="shared" si="26" ref="E101:E111">D101*I101</f>
        <v>213781.20047919333</v>
      </c>
      <c r="F101" s="39">
        <v>354153.49</v>
      </c>
      <c r="G101" s="19">
        <v>296465.6</v>
      </c>
      <c r="H101" s="40">
        <f aca="true" t="shared" si="27" ref="H101:H111">F101-G101</f>
        <v>57687.890000000014</v>
      </c>
      <c r="I101" s="10">
        <f aca="true" t="shared" si="28" ref="I101:I111">(G101*100)/F101/100</f>
        <v>0.8371104856258792</v>
      </c>
    </row>
    <row r="102" spans="1:9" ht="15">
      <c r="A102" s="1" t="s">
        <v>5</v>
      </c>
      <c r="B102" s="19">
        <f t="shared" si="24"/>
        <v>98773.58000000002</v>
      </c>
      <c r="C102" s="19">
        <f t="shared" si="25"/>
        <v>109893.93846263041</v>
      </c>
      <c r="D102" s="19">
        <v>215106.57</v>
      </c>
      <c r="E102" s="19">
        <f t="shared" si="26"/>
        <v>239324.2015373696</v>
      </c>
      <c r="F102" s="39">
        <v>313880.15</v>
      </c>
      <c r="G102" s="19">
        <v>349218.14</v>
      </c>
      <c r="H102" s="40">
        <f t="shared" si="27"/>
        <v>-35337.98999999999</v>
      </c>
      <c r="I102" s="10">
        <f t="shared" si="28"/>
        <v>1.1125843415074192</v>
      </c>
    </row>
    <row r="103" spans="1:9" ht="15">
      <c r="A103" s="1" t="s">
        <v>6</v>
      </c>
      <c r="B103" s="19">
        <f t="shared" si="24"/>
        <v>98379.93</v>
      </c>
      <c r="C103" s="19">
        <f t="shared" si="25"/>
        <v>84927.08954153232</v>
      </c>
      <c r="D103" s="19">
        <v>285372.31</v>
      </c>
      <c r="E103" s="19">
        <f t="shared" si="26"/>
        <v>246349.4304584677</v>
      </c>
      <c r="F103" s="39">
        <v>383752.24</v>
      </c>
      <c r="G103" s="19">
        <v>331276.52</v>
      </c>
      <c r="H103" s="40">
        <f t="shared" si="27"/>
        <v>52475.71999999997</v>
      </c>
      <c r="I103" s="10">
        <f t="shared" si="28"/>
        <v>0.863256250960255</v>
      </c>
    </row>
    <row r="104" spans="1:9" ht="15">
      <c r="A104" s="1" t="s">
        <v>7</v>
      </c>
      <c r="B104" s="19">
        <f t="shared" si="24"/>
        <v>110683.57</v>
      </c>
      <c r="C104" s="19">
        <f t="shared" si="25"/>
        <v>107316.48159812657</v>
      </c>
      <c r="D104" s="19">
        <v>204931.86</v>
      </c>
      <c r="E104" s="19">
        <f t="shared" si="26"/>
        <v>198697.65840187346</v>
      </c>
      <c r="F104" s="39">
        <v>315615.43</v>
      </c>
      <c r="G104" s="19">
        <v>306014.14</v>
      </c>
      <c r="H104" s="40">
        <f t="shared" si="27"/>
        <v>9601.289999999979</v>
      </c>
      <c r="I104" s="10">
        <f t="shared" si="28"/>
        <v>0.9695791489028278</v>
      </c>
    </row>
    <row r="105" spans="1:9" ht="15">
      <c r="A105" s="1" t="s">
        <v>14</v>
      </c>
      <c r="B105" s="19">
        <f t="shared" si="24"/>
        <v>101454.54999999999</v>
      </c>
      <c r="C105" s="19">
        <f t="shared" si="25"/>
        <v>98650.3961784672</v>
      </c>
      <c r="D105" s="19">
        <v>143581.29</v>
      </c>
      <c r="E105" s="19">
        <f t="shared" si="26"/>
        <v>139612.7738215328</v>
      </c>
      <c r="F105" s="39">
        <v>245035.84</v>
      </c>
      <c r="G105" s="26">
        <v>238263.17</v>
      </c>
      <c r="H105" s="40">
        <f t="shared" si="27"/>
        <v>6772.669999999984</v>
      </c>
      <c r="I105" s="10">
        <f t="shared" si="28"/>
        <v>0.9723604922447264</v>
      </c>
    </row>
    <row r="106" spans="1:9" ht="16.5" customHeight="1">
      <c r="A106" s="1" t="s">
        <v>15</v>
      </c>
      <c r="B106" s="19">
        <f t="shared" si="24"/>
        <v>101269.09</v>
      </c>
      <c r="C106" s="19">
        <f t="shared" si="25"/>
        <v>177016.3717231406</v>
      </c>
      <c r="D106" s="19">
        <v>62600.94</v>
      </c>
      <c r="E106" s="19">
        <f t="shared" si="26"/>
        <v>109425.20827685941</v>
      </c>
      <c r="F106" s="39">
        <v>163870.03</v>
      </c>
      <c r="G106" s="26">
        <v>286441.58</v>
      </c>
      <c r="H106" s="40">
        <f t="shared" si="27"/>
        <v>-122571.55000000002</v>
      </c>
      <c r="I106" s="10">
        <f t="shared" si="28"/>
        <v>1.7479802743674362</v>
      </c>
    </row>
    <row r="107" spans="1:9" ht="16.5" customHeight="1">
      <c r="A107" s="1" t="s">
        <v>16</v>
      </c>
      <c r="B107" s="19">
        <f t="shared" si="24"/>
        <v>101269.08999999998</v>
      </c>
      <c r="C107" s="19">
        <f t="shared" si="25"/>
        <v>120285.9252385975</v>
      </c>
      <c r="D107" s="19">
        <v>85438.02</v>
      </c>
      <c r="E107" s="19">
        <f t="shared" si="26"/>
        <v>101482.01476140252</v>
      </c>
      <c r="F107" s="39">
        <v>186707.11</v>
      </c>
      <c r="G107" s="26">
        <v>221767.94</v>
      </c>
      <c r="H107" s="40">
        <f t="shared" si="27"/>
        <v>-35060.830000000016</v>
      </c>
      <c r="I107" s="10">
        <f t="shared" si="28"/>
        <v>1.1877851893267484</v>
      </c>
    </row>
    <row r="108" spans="1:9" ht="16.5" customHeight="1">
      <c r="A108" s="1" t="s">
        <v>17</v>
      </c>
      <c r="B108" s="19">
        <f t="shared" si="24"/>
        <v>101269.08999999998</v>
      </c>
      <c r="C108" s="19">
        <f t="shared" si="25"/>
        <v>71143.67042672564</v>
      </c>
      <c r="D108" s="19">
        <v>122596.52</v>
      </c>
      <c r="E108" s="19">
        <f t="shared" si="26"/>
        <v>86126.63957327434</v>
      </c>
      <c r="F108" s="39">
        <v>223865.61</v>
      </c>
      <c r="G108" s="26">
        <v>157270.31</v>
      </c>
      <c r="H108" s="40">
        <f t="shared" si="27"/>
        <v>66595.29999999999</v>
      </c>
      <c r="I108" s="10">
        <f t="shared" si="28"/>
        <v>0.7025210794994372</v>
      </c>
    </row>
    <row r="109" spans="1:9" ht="16.5" customHeight="1">
      <c r="A109" s="1" t="s">
        <v>18</v>
      </c>
      <c r="B109" s="19">
        <f t="shared" si="24"/>
        <v>110898.44000000002</v>
      </c>
      <c r="C109" s="19">
        <f t="shared" si="25"/>
        <v>111942.47537396327</v>
      </c>
      <c r="D109" s="19">
        <v>80175.01</v>
      </c>
      <c r="E109" s="19">
        <f t="shared" si="26"/>
        <v>80929.80462603674</v>
      </c>
      <c r="F109" s="39">
        <v>191073.45</v>
      </c>
      <c r="G109" s="26">
        <v>192872.28</v>
      </c>
      <c r="H109" s="40">
        <f t="shared" si="27"/>
        <v>-1798.8299999999872</v>
      </c>
      <c r="I109" s="10">
        <f t="shared" si="28"/>
        <v>1.0094143377847629</v>
      </c>
    </row>
    <row r="110" spans="1:9" ht="16.5" customHeight="1">
      <c r="A110" s="1" t="s">
        <v>20</v>
      </c>
      <c r="B110" s="19">
        <f t="shared" si="24"/>
        <v>101269.08999999997</v>
      </c>
      <c r="C110" s="19">
        <f t="shared" si="25"/>
        <v>89926.04165463023</v>
      </c>
      <c r="D110" s="19">
        <v>229826.57</v>
      </c>
      <c r="E110" s="19">
        <f t="shared" si="26"/>
        <v>204083.92834536973</v>
      </c>
      <c r="F110" s="39">
        <v>331095.66</v>
      </c>
      <c r="G110" s="26">
        <v>294009.97</v>
      </c>
      <c r="H110" s="40">
        <f t="shared" si="27"/>
        <v>37085.69</v>
      </c>
      <c r="I110" s="10">
        <f t="shared" si="28"/>
        <v>0.8879910114194791</v>
      </c>
    </row>
    <row r="111" spans="1:9" ht="16.5" customHeight="1">
      <c r="A111" s="1" t="s">
        <v>21</v>
      </c>
      <c r="B111" s="19">
        <f t="shared" si="24"/>
        <v>101269.09</v>
      </c>
      <c r="C111" s="19">
        <f t="shared" si="25"/>
        <v>108704.82113048434</v>
      </c>
      <c r="D111" s="19">
        <v>200945.09</v>
      </c>
      <c r="E111" s="19">
        <f t="shared" si="26"/>
        <v>215699.57886951565</v>
      </c>
      <c r="F111" s="39">
        <v>302214.18</v>
      </c>
      <c r="G111" s="26">
        <f>330826.51-6422.11</f>
        <v>324404.4</v>
      </c>
      <c r="H111" s="40">
        <f t="shared" si="27"/>
        <v>-22190.22000000003</v>
      </c>
      <c r="I111" s="10">
        <f t="shared" si="28"/>
        <v>1.0734254759323338</v>
      </c>
    </row>
    <row r="112" spans="1:7" ht="16.5" customHeight="1">
      <c r="A112" s="45" t="s">
        <v>68</v>
      </c>
      <c r="B112" s="19">
        <f aca="true" t="shared" si="29" ref="B112:G112">SUM(B100:B111)</f>
        <v>1241643.4400000002</v>
      </c>
      <c r="C112" s="19">
        <f t="shared" si="29"/>
        <v>1202731.4222548183</v>
      </c>
      <c r="D112" s="19">
        <f t="shared" si="29"/>
        <v>2275801.74</v>
      </c>
      <c r="E112" s="19">
        <f t="shared" si="29"/>
        <v>1970359.9477451816</v>
      </c>
      <c r="F112" s="39">
        <f t="shared" si="29"/>
        <v>3517445.1799999997</v>
      </c>
      <c r="G112" s="26">
        <f t="shared" si="29"/>
        <v>3173091.3699999996</v>
      </c>
    </row>
    <row r="113" spans="1:7" ht="16.5" customHeight="1">
      <c r="A113" s="45" t="s">
        <v>69</v>
      </c>
      <c r="D113" s="42"/>
      <c r="E113" s="43"/>
      <c r="F113" s="82">
        <f>F112+F99</f>
        <v>3935007.53</v>
      </c>
      <c r="G113" s="43">
        <f>G112</f>
        <v>3173091.3699999996</v>
      </c>
    </row>
    <row r="114" spans="1:8" ht="27" customHeight="1">
      <c r="A114" s="144" t="s">
        <v>70</v>
      </c>
      <c r="B114" s="144"/>
      <c r="C114" s="144"/>
      <c r="D114" s="144"/>
      <c r="E114" s="144"/>
      <c r="F114" s="145">
        <f>F113-G113</f>
        <v>761916.1600000001</v>
      </c>
      <c r="G114" s="145"/>
      <c r="H114">
        <v>755494.05</v>
      </c>
    </row>
    <row r="115" spans="1:7" ht="16.5" customHeight="1">
      <c r="A115" s="83"/>
      <c r="B115" s="83"/>
      <c r="C115" s="83"/>
      <c r="D115" s="84"/>
      <c r="E115" s="83"/>
      <c r="F115" s="85"/>
      <c r="G115" s="86"/>
    </row>
    <row r="116" spans="4:7" ht="16.5" customHeight="1">
      <c r="D116" s="42"/>
      <c r="E116" s="43"/>
      <c r="F116" s="42"/>
      <c r="G116" s="40"/>
    </row>
    <row r="117" spans="1:7" ht="16.5" customHeight="1">
      <c r="A117" s="5" t="s">
        <v>29</v>
      </c>
      <c r="B117" s="17" t="s">
        <v>8</v>
      </c>
      <c r="C117" s="17" t="s">
        <v>9</v>
      </c>
      <c r="D117" s="17" t="s">
        <v>26</v>
      </c>
      <c r="E117" s="17" t="s">
        <v>27</v>
      </c>
      <c r="F117" s="17" t="s">
        <v>43</v>
      </c>
      <c r="G117" s="17" t="s">
        <v>45</v>
      </c>
    </row>
    <row r="118" spans="1:7" ht="16.5" customHeight="1">
      <c r="A118" s="5" t="s">
        <v>22</v>
      </c>
      <c r="B118" s="3">
        <v>4973697.13</v>
      </c>
      <c r="C118" s="3">
        <v>4556134.78</v>
      </c>
      <c r="D118" s="18">
        <f>B118-C118</f>
        <v>417562.3499999996</v>
      </c>
      <c r="E118" s="153">
        <f>D118+D119</f>
        <v>761916.1599999997</v>
      </c>
      <c r="F118" s="163">
        <v>-6422.11</v>
      </c>
      <c r="G118" s="153">
        <f>E118+F118</f>
        <v>755494.0499999997</v>
      </c>
    </row>
    <row r="119" spans="1:7" ht="16.5" customHeight="1">
      <c r="A119" s="5" t="s">
        <v>25</v>
      </c>
      <c r="B119" s="3">
        <f>F112</f>
        <v>3517445.1799999997</v>
      </c>
      <c r="C119" s="3">
        <f>G112</f>
        <v>3173091.3699999996</v>
      </c>
      <c r="D119" s="18">
        <f>B119-C119</f>
        <v>344353.81000000006</v>
      </c>
      <c r="E119" s="154"/>
      <c r="F119" s="164"/>
      <c r="G119" s="154"/>
    </row>
    <row r="120" ht="16.5" customHeight="1"/>
    <row r="121" spans="1:2" ht="16.5" customHeight="1">
      <c r="A121" s="161" t="s">
        <v>40</v>
      </c>
      <c r="B121" s="162"/>
    </row>
    <row r="122" spans="1:7" ht="21">
      <c r="A122" s="156" t="s">
        <v>13</v>
      </c>
      <c r="B122" s="157"/>
      <c r="C122" s="157"/>
      <c r="D122" s="157"/>
      <c r="E122" s="157"/>
      <c r="F122" s="157"/>
      <c r="G122" s="157"/>
    </row>
    <row r="123" spans="1:7" ht="15">
      <c r="A123" s="1"/>
      <c r="B123" s="146" t="s">
        <v>0</v>
      </c>
      <c r="C123" s="146"/>
      <c r="D123" s="146" t="s">
        <v>1</v>
      </c>
      <c r="E123" s="146"/>
      <c r="F123" s="146" t="s">
        <v>2</v>
      </c>
      <c r="G123" s="146"/>
    </row>
    <row r="124" spans="1:7" ht="15">
      <c r="A124" s="1"/>
      <c r="B124" s="2" t="s">
        <v>8</v>
      </c>
      <c r="C124" s="2" t="s">
        <v>9</v>
      </c>
      <c r="D124" s="2" t="s">
        <v>8</v>
      </c>
      <c r="E124" s="2" t="s">
        <v>9</v>
      </c>
      <c r="F124" s="7" t="s">
        <v>8</v>
      </c>
      <c r="G124" s="7" t="s">
        <v>9</v>
      </c>
    </row>
    <row r="125" spans="1:9" ht="15">
      <c r="A125" s="1" t="s">
        <v>3</v>
      </c>
      <c r="B125" s="3">
        <f>F125-D125</f>
        <v>104380.05000000002</v>
      </c>
      <c r="C125" s="3">
        <f>B125*I125</f>
        <v>80833.41596310803</v>
      </c>
      <c r="D125" s="32">
        <v>44764.59</v>
      </c>
      <c r="E125" s="3">
        <f>D125*I125</f>
        <v>34666.34403689196</v>
      </c>
      <c r="F125" s="24">
        <v>149144.64</v>
      </c>
      <c r="G125" s="3">
        <v>115499.76</v>
      </c>
      <c r="H125" s="4">
        <f aca="true" t="shared" si="30" ref="H125:H136">F125-G125</f>
        <v>33644.88000000002</v>
      </c>
      <c r="I125" s="10">
        <f>(G125*100)/F125/100</f>
        <v>0.7744144207931306</v>
      </c>
    </row>
    <row r="126" spans="1:9" ht="15">
      <c r="A126" s="1" t="s">
        <v>4</v>
      </c>
      <c r="B126" s="3">
        <f>F126-D126</f>
        <v>98405.56</v>
      </c>
      <c r="C126" s="3">
        <f aca="true" t="shared" si="31" ref="C126:C136">B126*I126</f>
        <v>75915.79629460514</v>
      </c>
      <c r="D126" s="32">
        <v>49111.35</v>
      </c>
      <c r="E126" s="3">
        <f aca="true" t="shared" si="32" ref="E126:E136">D126*I126</f>
        <v>37887.363705394855</v>
      </c>
      <c r="F126" s="24">
        <v>147516.91</v>
      </c>
      <c r="G126" s="3">
        <v>113803.16</v>
      </c>
      <c r="H126" s="4">
        <f t="shared" si="30"/>
        <v>33713.75</v>
      </c>
      <c r="I126" s="10">
        <f aca="true" t="shared" si="33" ref="I126:I136">(G126*100)/F126/100</f>
        <v>0.771458404328019</v>
      </c>
    </row>
    <row r="127" spans="1:9" ht="15">
      <c r="A127" s="1" t="s">
        <v>5</v>
      </c>
      <c r="B127" s="3">
        <f aca="true" t="shared" si="34" ref="B127:B136">F127-D127</f>
        <v>108719.24999999999</v>
      </c>
      <c r="C127" s="3">
        <f t="shared" si="31"/>
        <v>90831.43835655438</v>
      </c>
      <c r="D127" s="32">
        <v>35641.11</v>
      </c>
      <c r="E127" s="3">
        <f t="shared" si="32"/>
        <v>29777.001643445616</v>
      </c>
      <c r="F127" s="24">
        <v>144360.36</v>
      </c>
      <c r="G127" s="3">
        <v>120608.44</v>
      </c>
      <c r="H127" s="4">
        <f t="shared" si="30"/>
        <v>23751.919999999984</v>
      </c>
      <c r="I127" s="10">
        <f t="shared" si="33"/>
        <v>0.8354678528094556</v>
      </c>
    </row>
    <row r="128" spans="1:9" ht="15">
      <c r="A128" s="1" t="s">
        <v>6</v>
      </c>
      <c r="B128" s="3">
        <f t="shared" si="34"/>
        <v>100702.45999999999</v>
      </c>
      <c r="C128" s="3">
        <f t="shared" si="31"/>
        <v>116352.85813733713</v>
      </c>
      <c r="D128" s="32">
        <v>32899.28</v>
      </c>
      <c r="E128" s="3">
        <f t="shared" si="32"/>
        <v>38012.23186266287</v>
      </c>
      <c r="F128" s="24">
        <v>133601.74</v>
      </c>
      <c r="G128" s="3">
        <v>154365.09</v>
      </c>
      <c r="H128" s="4">
        <f t="shared" si="30"/>
        <v>-20763.350000000006</v>
      </c>
      <c r="I128" s="10">
        <f t="shared" si="33"/>
        <v>1.1554122723251958</v>
      </c>
    </row>
    <row r="129" spans="1:9" ht="15">
      <c r="A129" s="1" t="s">
        <v>7</v>
      </c>
      <c r="B129" s="3">
        <f t="shared" si="34"/>
        <v>103594.20999999999</v>
      </c>
      <c r="C129" s="3">
        <f t="shared" si="31"/>
        <v>60001.88309098126</v>
      </c>
      <c r="D129" s="32">
        <v>62413.72</v>
      </c>
      <c r="E129" s="3">
        <f t="shared" si="32"/>
        <v>36150.09690901875</v>
      </c>
      <c r="F129" s="24">
        <v>166007.93</v>
      </c>
      <c r="G129" s="3">
        <v>96151.98</v>
      </c>
      <c r="H129" s="4">
        <f t="shared" si="30"/>
        <v>69855.95</v>
      </c>
      <c r="I129" s="10">
        <f t="shared" si="33"/>
        <v>0.5792011261148791</v>
      </c>
    </row>
    <row r="130" spans="1:9" ht="15">
      <c r="A130" s="1" t="s">
        <v>14</v>
      </c>
      <c r="B130" s="3">
        <f t="shared" si="34"/>
        <v>103444.20999999999</v>
      </c>
      <c r="C130" s="3">
        <f t="shared" si="31"/>
        <v>174254.76913624982</v>
      </c>
      <c r="D130" s="32">
        <v>11907.43</v>
      </c>
      <c r="E130" s="3">
        <f t="shared" si="32"/>
        <v>20058.41086375018</v>
      </c>
      <c r="F130" s="24">
        <v>115351.64</v>
      </c>
      <c r="G130" s="25">
        <v>194313.18</v>
      </c>
      <c r="H130" s="4">
        <f t="shared" si="30"/>
        <v>-78961.54</v>
      </c>
      <c r="I130" s="10">
        <f t="shared" si="33"/>
        <v>1.6845289759209319</v>
      </c>
    </row>
    <row r="131" spans="1:9" ht="15">
      <c r="A131" s="1" t="s">
        <v>15</v>
      </c>
      <c r="B131" s="3">
        <f t="shared" si="34"/>
        <v>108467.43</v>
      </c>
      <c r="C131" s="3">
        <f t="shared" si="31"/>
        <v>104196.60698402826</v>
      </c>
      <c r="D131" s="32">
        <v>37767.76</v>
      </c>
      <c r="E131" s="3">
        <f t="shared" si="32"/>
        <v>36280.683015971736</v>
      </c>
      <c r="F131" s="24">
        <v>146235.19</v>
      </c>
      <c r="G131" s="25">
        <v>140477.29</v>
      </c>
      <c r="H131" s="4">
        <f t="shared" si="30"/>
        <v>5757.899999999994</v>
      </c>
      <c r="I131" s="10">
        <f t="shared" si="33"/>
        <v>0.9606257563586439</v>
      </c>
    </row>
    <row r="132" spans="1:9" ht="15">
      <c r="A132" s="1" t="s">
        <v>16</v>
      </c>
      <c r="B132" s="3">
        <f t="shared" si="34"/>
        <v>103899.26999999999</v>
      </c>
      <c r="C132" s="3">
        <f t="shared" si="31"/>
        <v>80682.53210859324</v>
      </c>
      <c r="D132" s="32">
        <v>50833.94</v>
      </c>
      <c r="E132" s="3">
        <f t="shared" si="32"/>
        <v>39474.877891406766</v>
      </c>
      <c r="F132" s="24">
        <v>154733.21</v>
      </c>
      <c r="G132" s="25">
        <v>120157.41</v>
      </c>
      <c r="H132" s="4">
        <f t="shared" si="30"/>
        <v>34575.79999999999</v>
      </c>
      <c r="I132" s="10">
        <f t="shared" si="33"/>
        <v>0.7765457072854626</v>
      </c>
    </row>
    <row r="133" spans="1:9" ht="15">
      <c r="A133" s="1" t="s">
        <v>17</v>
      </c>
      <c r="B133" s="3">
        <f t="shared" si="34"/>
        <v>104049.26000000001</v>
      </c>
      <c r="C133" s="3">
        <f t="shared" si="31"/>
        <v>82935.82254544176</v>
      </c>
      <c r="D133" s="32">
        <v>43410.96</v>
      </c>
      <c r="E133" s="3">
        <f t="shared" si="32"/>
        <v>34602.10745455825</v>
      </c>
      <c r="F133" s="24">
        <v>147460.22</v>
      </c>
      <c r="G133" s="25">
        <v>117537.93</v>
      </c>
      <c r="H133" s="4">
        <f t="shared" si="30"/>
        <v>29922.290000000008</v>
      </c>
      <c r="I133" s="10">
        <f t="shared" si="33"/>
        <v>0.7970822910748404</v>
      </c>
    </row>
    <row r="134" spans="1:9" ht="15">
      <c r="A134" s="1" t="s">
        <v>18</v>
      </c>
      <c r="B134" s="3">
        <f t="shared" si="34"/>
        <v>112056.23000000001</v>
      </c>
      <c r="C134" s="3">
        <f t="shared" si="31"/>
        <v>100094.51394075147</v>
      </c>
      <c r="D134" s="32">
        <v>78658.97</v>
      </c>
      <c r="E134" s="3">
        <f t="shared" si="32"/>
        <v>70262.32605924856</v>
      </c>
      <c r="F134" s="25">
        <v>190715.2</v>
      </c>
      <c r="G134" s="25">
        <v>170356.84</v>
      </c>
      <c r="H134" s="4">
        <f t="shared" si="30"/>
        <v>20358.360000000015</v>
      </c>
      <c r="I134" s="10">
        <f t="shared" si="33"/>
        <v>0.8932525566918631</v>
      </c>
    </row>
    <row r="135" spans="1:9" ht="15">
      <c r="A135" s="1" t="s">
        <v>20</v>
      </c>
      <c r="B135" s="3">
        <f t="shared" si="34"/>
        <v>104576.93</v>
      </c>
      <c r="C135" s="3">
        <f t="shared" si="31"/>
        <v>83737.46804185669</v>
      </c>
      <c r="D135" s="32">
        <v>57103.73</v>
      </c>
      <c r="E135" s="3">
        <f t="shared" si="32"/>
        <v>45724.44195814329</v>
      </c>
      <c r="F135" s="3">
        <v>161680.66</v>
      </c>
      <c r="G135" s="25">
        <v>129461.91</v>
      </c>
      <c r="H135" s="4">
        <f t="shared" si="30"/>
        <v>32218.75</v>
      </c>
      <c r="I135" s="10">
        <f t="shared" si="33"/>
        <v>0.8007260113856536</v>
      </c>
    </row>
    <row r="136" spans="1:9" ht="15">
      <c r="A136" s="1" t="s">
        <v>21</v>
      </c>
      <c r="B136" s="3">
        <f t="shared" si="34"/>
        <v>108283.63999999998</v>
      </c>
      <c r="C136" s="3">
        <f t="shared" si="31"/>
        <v>85517.98027302805</v>
      </c>
      <c r="D136" s="32">
        <v>67032.41</v>
      </c>
      <c r="E136" s="3">
        <f t="shared" si="32"/>
        <v>52939.44972697196</v>
      </c>
      <c r="F136" s="3">
        <f>171560.99+3755.06</f>
        <v>175316.05</v>
      </c>
      <c r="G136" s="25">
        <v>138457.43</v>
      </c>
      <c r="H136" s="4">
        <f t="shared" si="30"/>
        <v>36858.619999999995</v>
      </c>
      <c r="I136" s="10">
        <f t="shared" si="33"/>
        <v>0.7897590095145312</v>
      </c>
    </row>
    <row r="137" spans="1:8" ht="15">
      <c r="A137" s="1" t="s">
        <v>10</v>
      </c>
      <c r="B137" s="33">
        <f aca="true" t="shared" si="35" ref="B137:G137">SUM(B125:B136)</f>
        <v>1260578.4999999998</v>
      </c>
      <c r="C137" s="33">
        <f t="shared" si="35"/>
        <v>1135355.0848725354</v>
      </c>
      <c r="D137" s="33">
        <f t="shared" si="35"/>
        <v>571545.25</v>
      </c>
      <c r="E137" s="33">
        <f t="shared" si="35"/>
        <v>475835.3351274648</v>
      </c>
      <c r="F137" s="50">
        <f t="shared" si="35"/>
        <v>1832123.75</v>
      </c>
      <c r="G137" s="51">
        <f t="shared" si="35"/>
        <v>1611190.4199999997</v>
      </c>
      <c r="H137" s="23"/>
    </row>
    <row r="138" spans="1:8" ht="15">
      <c r="A138" s="11"/>
      <c r="B138" s="22"/>
      <c r="C138" s="22"/>
      <c r="D138" s="22"/>
      <c r="E138" s="22"/>
      <c r="F138" s="23"/>
      <c r="G138" s="23"/>
      <c r="H138" s="23"/>
    </row>
    <row r="139" spans="1:8" ht="15">
      <c r="A139" s="5" t="s">
        <v>29</v>
      </c>
      <c r="B139" s="17" t="s">
        <v>8</v>
      </c>
      <c r="C139" s="17" t="s">
        <v>9</v>
      </c>
      <c r="D139" s="17" t="s">
        <v>26</v>
      </c>
      <c r="E139" s="1" t="s">
        <v>27</v>
      </c>
      <c r="F139" s="23"/>
      <c r="G139" s="23"/>
      <c r="H139" s="23"/>
    </row>
    <row r="140" spans="1:8" ht="15.75">
      <c r="A140" s="5" t="s">
        <v>22</v>
      </c>
      <c r="B140" s="3">
        <v>4703492.2</v>
      </c>
      <c r="C140" s="3">
        <v>4260269.25</v>
      </c>
      <c r="D140" s="18">
        <f>B140-C140</f>
        <v>443222.9500000002</v>
      </c>
      <c r="E140" s="153">
        <f>D140+D141</f>
        <v>664156.2800000005</v>
      </c>
      <c r="F140" s="23"/>
      <c r="G140" s="23"/>
      <c r="H140" s="23"/>
    </row>
    <row r="141" spans="1:5" ht="15.75">
      <c r="A141" s="5" t="s">
        <v>25</v>
      </c>
      <c r="B141" s="3">
        <f>F137</f>
        <v>1832123.75</v>
      </c>
      <c r="C141" s="3">
        <f>G137</f>
        <v>1611190.4199999997</v>
      </c>
      <c r="D141" s="18">
        <f>B141-C141</f>
        <v>220933.3300000003</v>
      </c>
      <c r="E141" s="154"/>
    </row>
    <row r="143" spans="5:6" ht="15">
      <c r="E143" s="30"/>
      <c r="F143" s="4"/>
    </row>
    <row r="145" spans="5:6" ht="15">
      <c r="E145" s="4"/>
      <c r="F145" s="4"/>
    </row>
  </sheetData>
  <sheetProtection/>
  <mergeCells count="46">
    <mergeCell ref="B46:C46"/>
    <mergeCell ref="D46:E46"/>
    <mergeCell ref="G92:G93"/>
    <mergeCell ref="E92:E93"/>
    <mergeCell ref="E65:E66"/>
    <mergeCell ref="A89:E89"/>
    <mergeCell ref="F89:G89"/>
    <mergeCell ref="A121:B121"/>
    <mergeCell ref="F97:G97"/>
    <mergeCell ref="A122:G122"/>
    <mergeCell ref="B123:C123"/>
    <mergeCell ref="D123:E123"/>
    <mergeCell ref="F123:G123"/>
    <mergeCell ref="E118:E119"/>
    <mergeCell ref="F118:F119"/>
    <mergeCell ref="G118:G119"/>
    <mergeCell ref="E140:E141"/>
    <mergeCell ref="A71:G71"/>
    <mergeCell ref="B72:C72"/>
    <mergeCell ref="A2:G2"/>
    <mergeCell ref="A45:G45"/>
    <mergeCell ref="B3:C3"/>
    <mergeCell ref="D3:E3"/>
    <mergeCell ref="F3:G3"/>
    <mergeCell ref="F46:G46"/>
    <mergeCell ref="A95:B95"/>
    <mergeCell ref="A24:G24"/>
    <mergeCell ref="B25:C25"/>
    <mergeCell ref="D25:E25"/>
    <mergeCell ref="F25:G25"/>
    <mergeCell ref="A70:B70"/>
    <mergeCell ref="F92:F93"/>
    <mergeCell ref="A42:E42"/>
    <mergeCell ref="F42:G42"/>
    <mergeCell ref="D72:E72"/>
    <mergeCell ref="F72:G72"/>
    <mergeCell ref="A1:G1"/>
    <mergeCell ref="A23:B23"/>
    <mergeCell ref="F20:G20"/>
    <mergeCell ref="A20:E20"/>
    <mergeCell ref="A114:E114"/>
    <mergeCell ref="F114:G114"/>
    <mergeCell ref="B97:C97"/>
    <mergeCell ref="D97:E97"/>
    <mergeCell ref="A96:G96"/>
    <mergeCell ref="A44:B4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7.421875" style="0" customWidth="1"/>
    <col min="2" max="2" width="14.28125" style="103" customWidth="1"/>
    <col min="3" max="3" width="13.140625" style="0" customWidth="1"/>
    <col min="4" max="4" width="14.28125" style="0" customWidth="1"/>
    <col min="5" max="5" width="11.28125" style="0" customWidth="1"/>
    <col min="6" max="6" width="13.421875" style="0" customWidth="1"/>
    <col min="7" max="7" width="46.57421875" style="0" customWidth="1"/>
    <col min="8" max="8" width="16.8515625" style="0" customWidth="1"/>
    <col min="9" max="9" width="9.140625" style="103" customWidth="1"/>
    <col min="10" max="10" width="12.421875" style="0" bestFit="1" customWidth="1"/>
    <col min="11" max="11" width="14.28125" style="0" bestFit="1" customWidth="1"/>
  </cols>
  <sheetData>
    <row r="1" spans="1:7" ht="44.25" customHeight="1">
      <c r="A1" s="176" t="s">
        <v>107</v>
      </c>
      <c r="B1" s="176"/>
      <c r="C1" s="176"/>
      <c r="D1" s="176"/>
      <c r="E1" s="176"/>
      <c r="F1" s="176"/>
      <c r="G1" s="176"/>
    </row>
    <row r="2" spans="1:7" ht="18.75">
      <c r="A2" s="177" t="s">
        <v>71</v>
      </c>
      <c r="B2" s="177"/>
      <c r="C2" s="177"/>
      <c r="D2" s="177"/>
      <c r="E2" s="177"/>
      <c r="F2" s="177"/>
      <c r="G2" s="177"/>
    </row>
    <row r="3" spans="1:7" ht="17.25" customHeight="1">
      <c r="A3" s="178" t="s">
        <v>95</v>
      </c>
      <c r="B3" s="178"/>
      <c r="C3" s="178"/>
      <c r="D3" s="178"/>
      <c r="E3" s="178"/>
      <c r="F3" s="178"/>
      <c r="G3" s="178"/>
    </row>
    <row r="4" spans="1:7" ht="15" customHeight="1">
      <c r="A4" s="179" t="s">
        <v>105</v>
      </c>
      <c r="B4" s="180" t="s">
        <v>72</v>
      </c>
      <c r="C4" s="180" t="s">
        <v>73</v>
      </c>
      <c r="D4" s="180" t="s">
        <v>115</v>
      </c>
      <c r="E4" s="181" t="s">
        <v>116</v>
      </c>
      <c r="F4" s="182"/>
      <c r="G4" s="135"/>
    </row>
    <row r="5" spans="1:7" ht="17.25" customHeight="1">
      <c r="A5" s="179"/>
      <c r="B5" s="180"/>
      <c r="C5" s="180"/>
      <c r="D5" s="180"/>
      <c r="E5" s="131" t="s">
        <v>120</v>
      </c>
      <c r="F5" s="131" t="s">
        <v>117</v>
      </c>
      <c r="G5" s="87" t="s">
        <v>121</v>
      </c>
    </row>
    <row r="6" spans="1:7" ht="17.25" customHeight="1">
      <c r="A6" s="48" t="s">
        <v>84</v>
      </c>
      <c r="B6" s="91">
        <f>234560.78+9644.97-10269.18</f>
        <v>233936.57</v>
      </c>
      <c r="C6" s="91">
        <f>B6*84.06/100</f>
        <v>196647.08074200002</v>
      </c>
      <c r="D6" s="91">
        <f>B6-C6</f>
        <v>37289.48925799999</v>
      </c>
      <c r="E6" s="137">
        <f aca="true" t="shared" si="0" ref="E6:E23">F6/12</f>
        <v>20918.356666666667</v>
      </c>
      <c r="F6" s="137">
        <v>251020.28</v>
      </c>
      <c r="G6" s="34" t="s">
        <v>118</v>
      </c>
    </row>
    <row r="7" spans="1:7" ht="17.25" customHeight="1">
      <c r="A7" s="48"/>
      <c r="B7" s="91"/>
      <c r="C7" s="91"/>
      <c r="D7" s="91"/>
      <c r="E7" s="137"/>
      <c r="F7" s="137"/>
      <c r="G7" s="34"/>
    </row>
    <row r="8" spans="1:7" ht="15">
      <c r="A8" s="48" t="s">
        <v>78</v>
      </c>
      <c r="B8" s="136">
        <f>284783.89+12881.35-15892.64</f>
        <v>281772.6</v>
      </c>
      <c r="C8" s="91">
        <f>B8*84.06/100</f>
        <v>236858.04755999998</v>
      </c>
      <c r="D8" s="91">
        <f>B8-C8</f>
        <v>44914.55244</v>
      </c>
      <c r="E8" s="137">
        <f>F8/12</f>
        <v>0</v>
      </c>
      <c r="F8" s="137">
        <v>0</v>
      </c>
      <c r="G8" s="59"/>
    </row>
    <row r="9" spans="1:7" ht="15">
      <c r="A9" s="48" t="s">
        <v>79</v>
      </c>
      <c r="B9" s="91">
        <f>996440.77+41522.4-38012.69</f>
        <v>999950.48</v>
      </c>
      <c r="C9" s="91">
        <f>(B9*84.06/100)+93.91</f>
        <v>840652.283488</v>
      </c>
      <c r="D9" s="91">
        <f aca="true" t="shared" si="1" ref="D9:D23">B9-C9</f>
        <v>159298.19651199994</v>
      </c>
      <c r="E9" s="137">
        <f t="shared" si="0"/>
        <v>0</v>
      </c>
      <c r="F9" s="137">
        <v>0</v>
      </c>
      <c r="G9" s="24"/>
    </row>
    <row r="10" spans="1:7" ht="16.5" customHeight="1">
      <c r="A10" s="48" t="s">
        <v>80</v>
      </c>
      <c r="B10" s="91">
        <f>1884671.44+74925.25-79929.22-63.95</f>
        <v>1879603.52</v>
      </c>
      <c r="C10" s="91">
        <f aca="true" t="shared" si="2" ref="C10:C23">B10*84.06/100</f>
        <v>1579994.718912</v>
      </c>
      <c r="D10" s="91">
        <f t="shared" si="1"/>
        <v>299608.80108799995</v>
      </c>
      <c r="E10" s="137">
        <f t="shared" si="0"/>
        <v>272186.70083333337</v>
      </c>
      <c r="F10" s="137">
        <v>3266240.41</v>
      </c>
      <c r="G10" s="34" t="s">
        <v>119</v>
      </c>
    </row>
    <row r="11" spans="1:7" ht="26.25" customHeight="1">
      <c r="A11" s="133" t="s">
        <v>81</v>
      </c>
      <c r="B11" s="91">
        <f>256729.01+10544.17-11227.63</f>
        <v>256045.55</v>
      </c>
      <c r="C11" s="91">
        <f t="shared" si="2"/>
        <v>215231.88932999998</v>
      </c>
      <c r="D11" s="91">
        <f t="shared" si="1"/>
        <v>40813.66067000001</v>
      </c>
      <c r="E11" s="137">
        <f t="shared" si="0"/>
        <v>0</v>
      </c>
      <c r="F11" s="137">
        <v>0</v>
      </c>
      <c r="G11" s="34"/>
    </row>
    <row r="12" spans="1:7" ht="15">
      <c r="A12" s="48" t="s">
        <v>82</v>
      </c>
      <c r="B12" s="136">
        <f>92598.93+4233.93-4468.71</f>
        <v>92364.14999999998</v>
      </c>
      <c r="C12" s="91">
        <f t="shared" si="2"/>
        <v>77641.30448999998</v>
      </c>
      <c r="D12" s="91">
        <f t="shared" si="1"/>
        <v>14722.84551</v>
      </c>
      <c r="E12" s="137">
        <f t="shared" si="0"/>
        <v>0</v>
      </c>
      <c r="F12" s="137">
        <v>0</v>
      </c>
      <c r="G12" s="34"/>
    </row>
    <row r="13" spans="1:7" ht="15" customHeight="1">
      <c r="A13" s="48" t="s">
        <v>83</v>
      </c>
      <c r="B13" s="136">
        <f>80942.82+3277.6-3492.15</f>
        <v>80728.27000000002</v>
      </c>
      <c r="C13" s="91">
        <f t="shared" si="2"/>
        <v>67860.18376200002</v>
      </c>
      <c r="D13" s="91">
        <f t="shared" si="1"/>
        <v>12868.086238000004</v>
      </c>
      <c r="E13" s="137">
        <f t="shared" si="0"/>
        <v>0</v>
      </c>
      <c r="F13" s="137">
        <v>0</v>
      </c>
      <c r="G13" s="34"/>
    </row>
    <row r="14" spans="1:7" ht="15">
      <c r="A14" s="48" t="s">
        <v>85</v>
      </c>
      <c r="B14" s="91">
        <f>358728.79+18435.59-17559.73</f>
        <v>359604.65</v>
      </c>
      <c r="C14" s="91">
        <f t="shared" si="2"/>
        <v>302283.66879</v>
      </c>
      <c r="D14" s="91">
        <f t="shared" si="1"/>
        <v>57320.98121</v>
      </c>
      <c r="E14" s="137">
        <f t="shared" si="0"/>
        <v>0</v>
      </c>
      <c r="F14" s="137">
        <v>0</v>
      </c>
      <c r="G14" s="34"/>
    </row>
    <row r="15" spans="1:7" ht="30">
      <c r="A15" s="48" t="s">
        <v>86</v>
      </c>
      <c r="B15" s="91">
        <f>158043.45+6620.74-6061.17</f>
        <v>158603.02</v>
      </c>
      <c r="C15" s="91">
        <f t="shared" si="2"/>
        <v>133321.69861199998</v>
      </c>
      <c r="D15" s="91">
        <f t="shared" si="1"/>
        <v>25281.32138800001</v>
      </c>
      <c r="E15" s="137">
        <f t="shared" si="0"/>
        <v>0</v>
      </c>
      <c r="F15" s="137">
        <v>0</v>
      </c>
      <c r="G15" s="34"/>
    </row>
    <row r="16" spans="1:7" ht="15">
      <c r="A16" s="48" t="s">
        <v>87</v>
      </c>
      <c r="B16" s="91">
        <v>72000</v>
      </c>
      <c r="C16" s="91">
        <f t="shared" si="2"/>
        <v>60523.2</v>
      </c>
      <c r="D16" s="91">
        <f t="shared" si="1"/>
        <v>11476.800000000003</v>
      </c>
      <c r="E16" s="137">
        <f t="shared" si="0"/>
        <v>0</v>
      </c>
      <c r="F16" s="137">
        <v>0</v>
      </c>
      <c r="G16" s="34"/>
    </row>
    <row r="17" spans="1:7" ht="15">
      <c r="A17" s="48" t="s">
        <v>33</v>
      </c>
      <c r="B17" s="136">
        <f>283695+50+7335-17755.81-100</f>
        <v>273224.19</v>
      </c>
      <c r="C17" s="91">
        <f t="shared" si="2"/>
        <v>229672.254114</v>
      </c>
      <c r="D17" s="91">
        <f t="shared" si="1"/>
        <v>43551.93588599999</v>
      </c>
      <c r="E17" s="137">
        <f t="shared" si="0"/>
        <v>0</v>
      </c>
      <c r="F17" s="137">
        <v>0</v>
      </c>
      <c r="G17" s="34"/>
    </row>
    <row r="18" spans="1:7" ht="15">
      <c r="A18" s="48" t="s">
        <v>32</v>
      </c>
      <c r="B18" s="91">
        <f>541612.16+25338.47-31035.6</f>
        <v>535915.03</v>
      </c>
      <c r="C18" s="91">
        <f t="shared" si="2"/>
        <v>450490.17421800003</v>
      </c>
      <c r="D18" s="91">
        <f t="shared" si="1"/>
        <v>85424.855782</v>
      </c>
      <c r="E18" s="137">
        <f t="shared" si="0"/>
        <v>0</v>
      </c>
      <c r="F18" s="137">
        <v>0</v>
      </c>
      <c r="G18" s="34"/>
    </row>
    <row r="19" spans="1:7" ht="15">
      <c r="A19" s="48" t="s">
        <v>88</v>
      </c>
      <c r="B19" s="136">
        <f>99379+6414.01-8282.53</f>
        <v>97510.48</v>
      </c>
      <c r="C19" s="91">
        <f t="shared" si="2"/>
        <v>81967.309488</v>
      </c>
      <c r="D19" s="91">
        <f t="shared" si="1"/>
        <v>15543.170511999997</v>
      </c>
      <c r="E19" s="137">
        <f t="shared" si="0"/>
        <v>0</v>
      </c>
      <c r="F19" s="137">
        <v>0</v>
      </c>
      <c r="G19" s="34"/>
    </row>
    <row r="20" spans="1:7" ht="15">
      <c r="A20" s="48" t="s">
        <v>34</v>
      </c>
      <c r="B20" s="136">
        <f>16114.14+216.09-4122.88-304.29</f>
        <v>11903.059999999998</v>
      </c>
      <c r="C20" s="91">
        <f t="shared" si="2"/>
        <v>10005.712235999998</v>
      </c>
      <c r="D20" s="91">
        <f t="shared" si="1"/>
        <v>1897.347764</v>
      </c>
      <c r="E20" s="137">
        <f t="shared" si="0"/>
        <v>0</v>
      </c>
      <c r="F20" s="137">
        <v>0</v>
      </c>
      <c r="G20" s="34"/>
    </row>
    <row r="21" spans="1:7" ht="15">
      <c r="A21" s="48" t="s">
        <v>97</v>
      </c>
      <c r="B21" s="91">
        <v>24000</v>
      </c>
      <c r="C21" s="91">
        <f t="shared" si="2"/>
        <v>20174.4</v>
      </c>
      <c r="D21" s="91">
        <f t="shared" si="1"/>
        <v>3825.5999999999985</v>
      </c>
      <c r="E21" s="137">
        <f t="shared" si="0"/>
        <v>0</v>
      </c>
      <c r="F21" s="137">
        <v>0</v>
      </c>
      <c r="G21" s="34"/>
    </row>
    <row r="22" spans="1:7" ht="15">
      <c r="A22" s="48" t="s">
        <v>98</v>
      </c>
      <c r="B22" s="91">
        <v>30561.84</v>
      </c>
      <c r="C22" s="91">
        <f t="shared" si="2"/>
        <v>25690.282704</v>
      </c>
      <c r="D22" s="91">
        <f t="shared" si="1"/>
        <v>4871.557295999999</v>
      </c>
      <c r="E22" s="137">
        <f t="shared" si="0"/>
        <v>0</v>
      </c>
      <c r="F22" s="137">
        <v>0</v>
      </c>
      <c r="G22" s="34"/>
    </row>
    <row r="23" spans="1:7" ht="15">
      <c r="A23" s="48" t="s">
        <v>99</v>
      </c>
      <c r="B23" s="91">
        <v>2401.06</v>
      </c>
      <c r="C23" s="91">
        <f t="shared" si="2"/>
        <v>2018.331036</v>
      </c>
      <c r="D23" s="91">
        <f t="shared" si="1"/>
        <v>382.7289639999999</v>
      </c>
      <c r="E23" s="137">
        <f t="shared" si="0"/>
        <v>0</v>
      </c>
      <c r="F23" s="137">
        <v>0</v>
      </c>
      <c r="G23" s="34"/>
    </row>
    <row r="24" spans="1:7" ht="15">
      <c r="A24" s="119" t="s">
        <v>89</v>
      </c>
      <c r="B24" s="122">
        <f>SUM(B8:B23)</f>
        <v>5156187.899999999</v>
      </c>
      <c r="C24" s="122">
        <f>SUM(C8:C23)</f>
        <v>4334385.458740002</v>
      </c>
      <c r="D24" s="122">
        <f>SUM(D8:D23)</f>
        <v>821802.4412599998</v>
      </c>
      <c r="E24" s="138"/>
      <c r="F24" s="137">
        <v>0</v>
      </c>
      <c r="G24" s="114"/>
    </row>
    <row r="25" spans="1:7" ht="17.25" customHeight="1">
      <c r="A25" s="166" t="s">
        <v>90</v>
      </c>
      <c r="B25" s="166"/>
      <c r="C25" s="166"/>
      <c r="D25" s="166"/>
      <c r="E25" s="166"/>
      <c r="F25" s="166"/>
      <c r="G25" s="167"/>
    </row>
    <row r="26" spans="1:7" ht="17.25" customHeight="1">
      <c r="A26" s="115"/>
      <c r="B26" s="120" t="s">
        <v>72</v>
      </c>
      <c r="C26" s="120" t="s">
        <v>73</v>
      </c>
      <c r="D26" s="59" t="s">
        <v>96</v>
      </c>
      <c r="E26" s="113"/>
      <c r="F26" s="113"/>
      <c r="G26" s="34"/>
    </row>
    <row r="27" spans="1:7" ht="15">
      <c r="A27" s="48" t="s">
        <v>100</v>
      </c>
      <c r="B27" s="88">
        <f>391653.28+13044.79-29531.97+1902.9-8286.28</f>
        <v>368782.72</v>
      </c>
      <c r="C27" s="91">
        <f>B27*80.85/100</f>
        <v>298160.82911999995</v>
      </c>
      <c r="D27" s="92">
        <f>B27-C27</f>
        <v>70621.89088000002</v>
      </c>
      <c r="E27" s="128"/>
      <c r="F27" s="128"/>
      <c r="G27" s="117"/>
    </row>
    <row r="28" spans="1:7" ht="15">
      <c r="A28" s="48" t="s">
        <v>101</v>
      </c>
      <c r="B28" s="88">
        <f>893139.6+32710.23+9797.84+74632.05</f>
        <v>1010279.72</v>
      </c>
      <c r="C28" s="91">
        <f>B28*80.85/100</f>
        <v>816811.1536199999</v>
      </c>
      <c r="D28" s="92">
        <f>B28-C28</f>
        <v>193468.5663800001</v>
      </c>
      <c r="E28" s="128"/>
      <c r="F28" s="128"/>
      <c r="G28" s="117"/>
    </row>
    <row r="29" spans="1:7" ht="15" customHeight="1">
      <c r="A29" s="48" t="s">
        <v>102</v>
      </c>
      <c r="B29" s="88">
        <f>1278121.15+40673.89+152990.61+24043.18-12217.11+461559.57</f>
        <v>1945171.2899999998</v>
      </c>
      <c r="C29" s="91">
        <f>B29*80.85/100</f>
        <v>1572670.9879649996</v>
      </c>
      <c r="D29" s="92">
        <f>B29-C29</f>
        <v>372500.3020350002</v>
      </c>
      <c r="E29" s="128"/>
      <c r="F29" s="128"/>
      <c r="G29" s="117"/>
    </row>
    <row r="30" spans="1:7" ht="15">
      <c r="A30" s="48" t="s">
        <v>103</v>
      </c>
      <c r="B30" s="88">
        <f>614898.05+21254.21+1177.21+10790.1</f>
        <v>648119.57</v>
      </c>
      <c r="C30" s="91">
        <f>B30*80.85/100</f>
        <v>524004.6723449999</v>
      </c>
      <c r="D30" s="92">
        <f>B30-C30</f>
        <v>124114.89765500004</v>
      </c>
      <c r="E30" s="118"/>
      <c r="F30" s="118"/>
      <c r="G30" s="117"/>
    </row>
    <row r="31" spans="1:7" ht="15">
      <c r="A31" s="48" t="s">
        <v>91</v>
      </c>
      <c r="B31" s="88">
        <f>2681387.15+136617.59-52778.42+44040.39-1731.78</f>
        <v>2807534.93</v>
      </c>
      <c r="C31" s="91">
        <f>(B31*80.85/100)+87.32</f>
        <v>2269979.3109049997</v>
      </c>
      <c r="D31" s="92">
        <f>B31-C31</f>
        <v>537555.6190950004</v>
      </c>
      <c r="E31" s="118"/>
      <c r="F31" s="118"/>
      <c r="G31" s="117"/>
    </row>
    <row r="32" spans="1:7" ht="15">
      <c r="A32" s="48" t="s">
        <v>92</v>
      </c>
      <c r="B32" s="93">
        <f>B27+B28+B29+B30+B31</f>
        <v>6779888.2299999995</v>
      </c>
      <c r="C32" s="93">
        <f>SUM(C27:C31)</f>
        <v>5481626.953954999</v>
      </c>
      <c r="D32" s="94">
        <f>SUM(D27:D31)</f>
        <v>1298261.2760450006</v>
      </c>
      <c r="E32" s="113">
        <f>SUM(E27:E31)</f>
        <v>0</v>
      </c>
      <c r="F32" s="113"/>
      <c r="G32" s="121"/>
    </row>
    <row r="33" spans="1:7" ht="15">
      <c r="A33" s="48" t="s">
        <v>106</v>
      </c>
      <c r="B33" s="93">
        <f>B32+B24</f>
        <v>11936076.129999999</v>
      </c>
      <c r="C33" s="93">
        <f>C32+C24</f>
        <v>9816012.412695002</v>
      </c>
      <c r="D33" s="122">
        <f>D32+D24</f>
        <v>2120063.7173050004</v>
      </c>
      <c r="E33" s="113">
        <f>E32+E24</f>
        <v>0</v>
      </c>
      <c r="F33" s="113"/>
      <c r="G33" s="121"/>
    </row>
    <row r="34" spans="1:8" ht="9.75" customHeight="1">
      <c r="A34" s="168"/>
      <c r="B34" s="169"/>
      <c r="C34" s="169"/>
      <c r="D34" s="169"/>
      <c r="E34" s="169"/>
      <c r="F34" s="169"/>
      <c r="G34" s="170"/>
      <c r="H34" s="4"/>
    </row>
    <row r="35" spans="1:7" ht="25.5" customHeight="1">
      <c r="A35" s="99" t="s">
        <v>94</v>
      </c>
      <c r="B35" s="100">
        <f>B33</f>
        <v>11936076.129999999</v>
      </c>
      <c r="C35" s="100">
        <f>C32+C24</f>
        <v>9816012.412695002</v>
      </c>
      <c r="D35" s="100">
        <f>B35-C35</f>
        <v>2120063.717304997</v>
      </c>
      <c r="E35" s="171">
        <f>B35-C35</f>
        <v>2120063.717304997</v>
      </c>
      <c r="F35" s="172"/>
      <c r="G35" s="173"/>
    </row>
    <row r="36" spans="2:8" ht="15.75" customHeight="1">
      <c r="B36" s="105"/>
      <c r="C36" s="4"/>
      <c r="D36" s="4"/>
      <c r="H36" s="4"/>
    </row>
    <row r="38" spans="1:8" ht="39.75" customHeight="1">
      <c r="A38" s="174" t="s">
        <v>47</v>
      </c>
      <c r="B38" s="175"/>
      <c r="C38" s="175"/>
      <c r="D38" s="175"/>
      <c r="E38" s="175"/>
      <c r="F38" s="175"/>
      <c r="G38" s="175"/>
      <c r="H38" s="175"/>
    </row>
    <row r="39" spans="1:9" ht="21">
      <c r="A39" s="155" t="s">
        <v>23</v>
      </c>
      <c r="B39" s="155"/>
      <c r="C39" s="155"/>
      <c r="D39" s="155"/>
      <c r="E39" s="155"/>
      <c r="F39" s="155"/>
      <c r="G39" s="155"/>
      <c r="H39" s="155"/>
      <c r="I39" s="103" t="s">
        <v>19</v>
      </c>
    </row>
    <row r="40" spans="1:8" ht="81" customHeight="1">
      <c r="A40" s="1"/>
      <c r="B40" s="158" t="s">
        <v>39</v>
      </c>
      <c r="C40" s="158"/>
      <c r="D40" s="159" t="s">
        <v>37</v>
      </c>
      <c r="E40" s="160"/>
      <c r="F40" s="134"/>
      <c r="G40" s="159" t="s">
        <v>38</v>
      </c>
      <c r="H40" s="160"/>
    </row>
    <row r="41" spans="1:8" ht="15">
      <c r="A41" s="1"/>
      <c r="B41" s="130" t="s">
        <v>8</v>
      </c>
      <c r="C41" s="130" t="s">
        <v>9</v>
      </c>
      <c r="D41" s="130" t="s">
        <v>8</v>
      </c>
      <c r="E41" s="130" t="s">
        <v>9</v>
      </c>
      <c r="F41" s="130"/>
      <c r="G41" s="130" t="s">
        <v>8</v>
      </c>
      <c r="H41" s="130" t="s">
        <v>9</v>
      </c>
    </row>
    <row r="42" spans="1:10" ht="15">
      <c r="A42" s="1" t="s">
        <v>3</v>
      </c>
      <c r="B42" s="3">
        <f>G42-D42</f>
        <v>301269.95999999996</v>
      </c>
      <c r="C42" s="3">
        <f aca="true" t="shared" si="3" ref="C42:C53">B42*I42</f>
        <v>242929.96544021965</v>
      </c>
      <c r="D42" s="3">
        <v>638982.88</v>
      </c>
      <c r="E42" s="3">
        <f>D42*I42</f>
        <v>515245.82455978036</v>
      </c>
      <c r="F42" s="3"/>
      <c r="G42" s="24">
        <v>940252.84</v>
      </c>
      <c r="H42" s="3">
        <v>758175.79</v>
      </c>
      <c r="I42" s="106">
        <f>H42*100/G42/100</f>
        <v>0.8063530975349141</v>
      </c>
      <c r="J42" s="123"/>
    </row>
    <row r="43" spans="1:10" ht="15">
      <c r="A43" s="1" t="s">
        <v>4</v>
      </c>
      <c r="B43" s="3">
        <f aca="true" t="shared" si="4" ref="B43:B53">G43-D43</f>
        <v>439220.88</v>
      </c>
      <c r="C43" s="3">
        <f t="shared" si="3"/>
        <v>311402.1062467079</v>
      </c>
      <c r="D43" s="3">
        <v>774144.18</v>
      </c>
      <c r="E43" s="3">
        <f aca="true" t="shared" si="5" ref="E43:E52">D43*I43</f>
        <v>548858.5337532919</v>
      </c>
      <c r="F43" s="3"/>
      <c r="G43" s="24">
        <v>1213365.06</v>
      </c>
      <c r="H43" s="3">
        <v>860260.64</v>
      </c>
      <c r="I43" s="106">
        <f>H43*100/G43/100</f>
        <v>0.7089874831239988</v>
      </c>
      <c r="J43" s="123"/>
    </row>
    <row r="44" spans="1:10" ht="15">
      <c r="A44" s="1" t="s">
        <v>5</v>
      </c>
      <c r="B44" s="3">
        <f t="shared" si="4"/>
        <v>449000.82999999996</v>
      </c>
      <c r="C44" s="3">
        <f t="shared" si="3"/>
        <v>413225.8934080481</v>
      </c>
      <c r="D44" s="3">
        <v>694912.36</v>
      </c>
      <c r="E44" s="3">
        <f t="shared" si="5"/>
        <v>639543.9865919517</v>
      </c>
      <c r="F44" s="3"/>
      <c r="G44" s="24">
        <v>1143913.19</v>
      </c>
      <c r="H44" s="3">
        <v>1052769.88</v>
      </c>
      <c r="I44" s="106">
        <f>H44*100/G44/100</f>
        <v>0.9203232283736494</v>
      </c>
      <c r="J44" s="123"/>
    </row>
    <row r="45" spans="1:9" ht="15">
      <c r="A45" s="1" t="s">
        <v>6</v>
      </c>
      <c r="B45" s="3">
        <f t="shared" si="4"/>
        <v>428670.9099999999</v>
      </c>
      <c r="C45" s="3">
        <f t="shared" si="3"/>
        <v>477861.08331653324</v>
      </c>
      <c r="D45" s="3">
        <v>642316.23</v>
      </c>
      <c r="E45" s="3">
        <f t="shared" si="5"/>
        <v>716022.2966834665</v>
      </c>
      <c r="F45" s="3"/>
      <c r="G45" s="24">
        <v>1070987.14</v>
      </c>
      <c r="H45" s="3">
        <v>1193883.38</v>
      </c>
      <c r="I45" s="106">
        <f aca="true" t="shared" si="6" ref="I45:I53">H45*100/G45/100</f>
        <v>1.1147504348184796</v>
      </c>
    </row>
    <row r="46" spans="1:10" ht="15">
      <c r="A46" s="1" t="s">
        <v>7</v>
      </c>
      <c r="B46" s="3">
        <f t="shared" si="4"/>
        <v>436674.88</v>
      </c>
      <c r="C46" s="3">
        <f t="shared" si="3"/>
        <v>379000.2492141444</v>
      </c>
      <c r="D46" s="3">
        <v>565096.87</v>
      </c>
      <c r="E46" s="3">
        <f t="shared" si="5"/>
        <v>490460.67078585556</v>
      </c>
      <c r="F46" s="3"/>
      <c r="G46" s="24">
        <v>1001771.75</v>
      </c>
      <c r="H46" s="3">
        <v>869460.92</v>
      </c>
      <c r="I46" s="106">
        <f t="shared" si="6"/>
        <v>0.8679231771109537</v>
      </c>
      <c r="J46" s="4"/>
    </row>
    <row r="47" spans="1:9" ht="15">
      <c r="A47" s="1" t="s">
        <v>14</v>
      </c>
      <c r="B47" s="3">
        <f t="shared" si="4"/>
        <v>436812.87999999995</v>
      </c>
      <c r="C47" s="3">
        <f t="shared" si="3"/>
        <v>481849.25708677253</v>
      </c>
      <c r="D47" s="3">
        <v>405765.69</v>
      </c>
      <c r="E47" s="3">
        <f t="shared" si="5"/>
        <v>447601.03291322745</v>
      </c>
      <c r="F47" s="3"/>
      <c r="G47" s="24">
        <v>842578.57</v>
      </c>
      <c r="H47" s="3">
        <v>929450.29</v>
      </c>
      <c r="I47" s="106">
        <f t="shared" si="6"/>
        <v>1.1031022187046604</v>
      </c>
    </row>
    <row r="48" spans="1:11" ht="15">
      <c r="A48" s="1" t="s">
        <v>15</v>
      </c>
      <c r="B48" s="3">
        <f t="shared" si="4"/>
        <v>433807.14999999997</v>
      </c>
      <c r="C48" s="3">
        <f t="shared" si="3"/>
        <v>443801.43767540477</v>
      </c>
      <c r="D48" s="3">
        <v>302386.32</v>
      </c>
      <c r="E48" s="3">
        <f t="shared" si="5"/>
        <v>309352.8623245952</v>
      </c>
      <c r="F48" s="3"/>
      <c r="G48" s="24">
        <v>736193.47</v>
      </c>
      <c r="H48" s="3">
        <v>753154.3</v>
      </c>
      <c r="I48" s="106">
        <f t="shared" si="6"/>
        <v>1.0230385499072683</v>
      </c>
      <c r="K48" s="4"/>
    </row>
    <row r="49" spans="1:9" ht="15">
      <c r="A49" s="1" t="s">
        <v>16</v>
      </c>
      <c r="B49" s="3">
        <f t="shared" si="4"/>
        <v>436430.45</v>
      </c>
      <c r="C49" s="3">
        <f t="shared" si="3"/>
        <v>425940.33166108694</v>
      </c>
      <c r="D49" s="3">
        <v>291712.05</v>
      </c>
      <c r="E49" s="3">
        <f t="shared" si="5"/>
        <v>284700.40833891305</v>
      </c>
      <c r="F49" s="3"/>
      <c r="G49" s="24">
        <v>728142.5</v>
      </c>
      <c r="H49" s="3">
        <v>710640.74</v>
      </c>
      <c r="I49" s="106">
        <f t="shared" si="6"/>
        <v>0.9759638257621276</v>
      </c>
    </row>
    <row r="50" spans="1:9" ht="15">
      <c r="A50" s="1" t="s">
        <v>17</v>
      </c>
      <c r="B50" s="3">
        <f t="shared" si="4"/>
        <v>437919.74</v>
      </c>
      <c r="C50" s="3">
        <f t="shared" si="3"/>
        <v>415588.15140272054</v>
      </c>
      <c r="D50" s="3">
        <v>324421.74</v>
      </c>
      <c r="E50" s="3">
        <f t="shared" si="5"/>
        <v>307877.94859727955</v>
      </c>
      <c r="F50" s="3"/>
      <c r="G50" s="24">
        <v>762341.48</v>
      </c>
      <c r="H50" s="3">
        <v>723466.1</v>
      </c>
      <c r="I50" s="106">
        <f t="shared" si="6"/>
        <v>0.9490052935332866</v>
      </c>
    </row>
    <row r="51" spans="1:9" ht="15">
      <c r="A51" s="1" t="s">
        <v>18</v>
      </c>
      <c r="B51" s="3">
        <f t="shared" si="4"/>
        <v>688290.8200000001</v>
      </c>
      <c r="C51" s="3">
        <f t="shared" si="3"/>
        <v>415323.32323055435</v>
      </c>
      <c r="D51" s="3">
        <v>705674.72</v>
      </c>
      <c r="E51" s="3">
        <f t="shared" si="5"/>
        <v>425812.98676944565</v>
      </c>
      <c r="F51" s="3"/>
      <c r="G51" s="24">
        <v>1393965.54</v>
      </c>
      <c r="H51" s="3">
        <v>841136.31</v>
      </c>
      <c r="I51" s="106">
        <f t="shared" si="6"/>
        <v>0.6034125563821326</v>
      </c>
    </row>
    <row r="52" spans="1:9" ht="15">
      <c r="A52" s="1" t="s">
        <v>20</v>
      </c>
      <c r="B52" s="3">
        <f t="shared" si="4"/>
        <v>450243.93999999994</v>
      </c>
      <c r="C52" s="3">
        <f t="shared" si="3"/>
        <v>304063.6430008673</v>
      </c>
      <c r="D52" s="3">
        <v>715460.94</v>
      </c>
      <c r="E52" s="3">
        <f t="shared" si="5"/>
        <v>483172.8769991328</v>
      </c>
      <c r="F52" s="3"/>
      <c r="G52" s="24">
        <v>1165704.88</v>
      </c>
      <c r="H52" s="3">
        <v>787236.52</v>
      </c>
      <c r="I52" s="106">
        <f t="shared" si="6"/>
        <v>0.67533089507183</v>
      </c>
    </row>
    <row r="53" spans="1:9" ht="15">
      <c r="A53" s="1" t="s">
        <v>21</v>
      </c>
      <c r="B53" s="3">
        <f t="shared" si="4"/>
        <v>451781.9600000001</v>
      </c>
      <c r="C53" s="3">
        <f t="shared" si="3"/>
        <v>578012.8723639738</v>
      </c>
      <c r="D53" s="3">
        <v>719014.32</v>
      </c>
      <c r="E53" s="3">
        <f>D53*I53</f>
        <v>919911.7476360261</v>
      </c>
      <c r="F53" s="3"/>
      <c r="G53" s="24">
        <v>1170796.28</v>
      </c>
      <c r="H53" s="3">
        <f>958013.51+539911.11</f>
        <v>1497924.62</v>
      </c>
      <c r="I53" s="106">
        <f t="shared" si="6"/>
        <v>1.2794067128399143</v>
      </c>
    </row>
    <row r="54" spans="1:8" ht="15">
      <c r="A54" s="45" t="s">
        <v>68</v>
      </c>
      <c r="B54" s="46">
        <f aca="true" t="shared" si="7" ref="B54:H54">SUM(B42:B53)</f>
        <v>5390124.399999999</v>
      </c>
      <c r="C54" s="46">
        <f t="shared" si="7"/>
        <v>4888998.314047034</v>
      </c>
      <c r="D54" s="46">
        <f t="shared" si="7"/>
        <v>6779888.300000001</v>
      </c>
      <c r="E54" s="46">
        <f t="shared" si="7"/>
        <v>6088561.175952965</v>
      </c>
      <c r="F54" s="46"/>
      <c r="G54" s="46">
        <f t="shared" si="7"/>
        <v>12170012.699999997</v>
      </c>
      <c r="H54" s="46">
        <f t="shared" si="7"/>
        <v>10977559.489999998</v>
      </c>
    </row>
    <row r="55" spans="1:8" ht="15">
      <c r="A55" s="45" t="s">
        <v>113</v>
      </c>
      <c r="B55" s="46"/>
      <c r="C55" s="46"/>
      <c r="D55" s="46"/>
      <c r="E55" s="46"/>
      <c r="F55" s="46"/>
      <c r="G55" s="46">
        <v>964899.99</v>
      </c>
      <c r="H55" s="46"/>
    </row>
    <row r="56" spans="1:9" ht="15">
      <c r="A56" s="45" t="s">
        <v>114</v>
      </c>
      <c r="B56" s="76"/>
      <c r="C56" s="132"/>
      <c r="D56" s="24"/>
      <c r="E56" s="24"/>
      <c r="F56" s="24"/>
      <c r="G56" s="76">
        <f>G54+G55</f>
        <v>13134912.689999998</v>
      </c>
      <c r="H56" s="50">
        <f>H54+H55</f>
        <v>10977559.489999998</v>
      </c>
      <c r="I56" s="107"/>
    </row>
    <row r="57" spans="1:8" ht="21">
      <c r="A57" s="144" t="s">
        <v>70</v>
      </c>
      <c r="B57" s="144"/>
      <c r="C57" s="144"/>
      <c r="D57" s="144"/>
      <c r="E57" s="144"/>
      <c r="F57" s="129"/>
      <c r="G57" s="143">
        <f>G56-H56</f>
        <v>2157353.1999999993</v>
      </c>
      <c r="H57" s="143"/>
    </row>
    <row r="58" spans="1:8" ht="15">
      <c r="A58" s="8"/>
      <c r="B58" s="4"/>
      <c r="C58" s="4"/>
      <c r="D58" s="4"/>
      <c r="E58" s="9"/>
      <c r="F58" s="9"/>
      <c r="G58" s="9"/>
      <c r="H58" s="9"/>
    </row>
    <row r="59" spans="3:7" ht="15">
      <c r="C59" s="4"/>
      <c r="E59" s="4"/>
      <c r="F59" s="4"/>
      <c r="G59" s="4"/>
    </row>
    <row r="60" ht="15">
      <c r="G60" s="4"/>
    </row>
  </sheetData>
  <sheetProtection/>
  <mergeCells count="18">
    <mergeCell ref="A1:G1"/>
    <mergeCell ref="A2:G2"/>
    <mergeCell ref="A3:G3"/>
    <mergeCell ref="A4:A5"/>
    <mergeCell ref="B4:B5"/>
    <mergeCell ref="C4:C5"/>
    <mergeCell ref="D4:D5"/>
    <mergeCell ref="E4:F4"/>
    <mergeCell ref="A57:E57"/>
    <mergeCell ref="G57:H57"/>
    <mergeCell ref="A25:G25"/>
    <mergeCell ref="A34:G34"/>
    <mergeCell ref="E35:G35"/>
    <mergeCell ref="A38:H38"/>
    <mergeCell ref="A39:H39"/>
    <mergeCell ref="B40:C40"/>
    <mergeCell ref="D40:E40"/>
    <mergeCell ref="G40:H40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26.28125" style="0" customWidth="1"/>
    <col min="2" max="2" width="20.8515625" style="37" customWidth="1"/>
    <col min="3" max="3" width="17.57421875" style="0" customWidth="1"/>
    <col min="4" max="4" width="16.421875" style="0" customWidth="1"/>
    <col min="5" max="5" width="18.7109375" style="0" customWidth="1"/>
    <col min="6" max="6" width="27.421875" style="0" customWidth="1"/>
    <col min="7" max="7" width="16.8515625" style="0" customWidth="1"/>
    <col min="8" max="8" width="9.140625" style="103" customWidth="1"/>
    <col min="9" max="9" width="12.421875" style="0" bestFit="1" customWidth="1"/>
    <col min="10" max="10" width="14.28125" style="0" bestFit="1" customWidth="1"/>
  </cols>
  <sheetData>
    <row r="1" spans="1:7" ht="39.75" customHeight="1">
      <c r="A1" s="174" t="s">
        <v>122</v>
      </c>
      <c r="B1" s="175"/>
      <c r="C1" s="175"/>
      <c r="D1" s="175"/>
      <c r="E1" s="175"/>
      <c r="F1" s="175"/>
      <c r="G1" s="175"/>
    </row>
    <row r="2" spans="1:7" ht="142.5" customHeight="1">
      <c r="A2" s="1"/>
      <c r="B2" s="158" t="s">
        <v>39</v>
      </c>
      <c r="C2" s="158"/>
      <c r="D2" s="159" t="s">
        <v>123</v>
      </c>
      <c r="E2" s="160"/>
      <c r="F2" s="159" t="s">
        <v>124</v>
      </c>
      <c r="G2" s="160"/>
    </row>
    <row r="3" spans="1:7" ht="15">
      <c r="A3" s="1"/>
      <c r="B3" s="102" t="s">
        <v>8</v>
      </c>
      <c r="C3" s="102" t="s">
        <v>9</v>
      </c>
      <c r="D3" s="102" t="s">
        <v>8</v>
      </c>
      <c r="E3" s="102" t="s">
        <v>9</v>
      </c>
      <c r="F3" s="102" t="s">
        <v>8</v>
      </c>
      <c r="G3" s="102" t="s">
        <v>9</v>
      </c>
    </row>
    <row r="4" spans="1:9" ht="15">
      <c r="A4" s="1" t="s">
        <v>3</v>
      </c>
      <c r="B4" s="3">
        <v>301269.96</v>
      </c>
      <c r="C4" s="3">
        <f>B4*H4</f>
        <v>212397.79302722242</v>
      </c>
      <c r="D4" s="3">
        <v>774144.18</v>
      </c>
      <c r="E4" s="3">
        <f>D4*H4</f>
        <v>545777.9969727775</v>
      </c>
      <c r="F4" s="24">
        <f>B4+D4</f>
        <v>1075414.1400000001</v>
      </c>
      <c r="G4" s="3">
        <v>758175.79</v>
      </c>
      <c r="H4" s="198">
        <f>G4/F4</f>
        <v>0.7050082027004033</v>
      </c>
      <c r="I4" s="9"/>
    </row>
    <row r="5" spans="1:9" ht="15">
      <c r="A5" s="1" t="s">
        <v>4</v>
      </c>
      <c r="B5" s="3">
        <v>439220.88</v>
      </c>
      <c r="C5" s="3">
        <f>B5*H5</f>
        <v>333157.0066054701</v>
      </c>
      <c r="D5" s="3">
        <v>694912.36</v>
      </c>
      <c r="E5" s="3">
        <f aca="true" t="shared" si="0" ref="E5:E15">D5*H5</f>
        <v>527103.6333945299</v>
      </c>
      <c r="F5" s="24">
        <f aca="true" t="shared" si="1" ref="F5:F15">B5+D5</f>
        <v>1134133.24</v>
      </c>
      <c r="G5" s="3">
        <v>860260.64</v>
      </c>
      <c r="H5" s="198">
        <f aca="true" t="shared" si="2" ref="H5:H15">G5/F5</f>
        <v>0.7585181437764755</v>
      </c>
      <c r="I5" s="9"/>
    </row>
    <row r="6" spans="1:9" ht="15">
      <c r="A6" s="1" t="s">
        <v>5</v>
      </c>
      <c r="B6" s="3">
        <v>449000.83</v>
      </c>
      <c r="C6" s="3">
        <f>B6*H6</f>
        <v>433141.35483138176</v>
      </c>
      <c r="D6" s="3">
        <v>642316.23</v>
      </c>
      <c r="E6" s="3">
        <f t="shared" si="0"/>
        <v>619628.5251686181</v>
      </c>
      <c r="F6" s="24">
        <f t="shared" si="1"/>
        <v>1091317.06</v>
      </c>
      <c r="G6" s="3">
        <v>1052769.88</v>
      </c>
      <c r="H6" s="198">
        <f t="shared" si="2"/>
        <v>0.9646782943171436</v>
      </c>
      <c r="I6" s="9"/>
    </row>
    <row r="7" spans="1:8" ht="15">
      <c r="A7" s="1" t="s">
        <v>6</v>
      </c>
      <c r="B7" s="3">
        <v>428670.91</v>
      </c>
      <c r="C7" s="3">
        <f>B7*H7</f>
        <v>514992.6222587693</v>
      </c>
      <c r="D7" s="3">
        <v>565096.87</v>
      </c>
      <c r="E7" s="3">
        <f t="shared" si="0"/>
        <v>678890.7577412307</v>
      </c>
      <c r="F7" s="24">
        <f t="shared" si="1"/>
        <v>993767.78</v>
      </c>
      <c r="G7" s="3">
        <v>1193883.38</v>
      </c>
      <c r="H7" s="198">
        <f t="shared" si="2"/>
        <v>1.2013705857921857</v>
      </c>
    </row>
    <row r="8" spans="1:9" ht="15">
      <c r="A8" s="1" t="s">
        <v>7</v>
      </c>
      <c r="B8" s="3">
        <v>436674.88</v>
      </c>
      <c r="C8" s="3">
        <f>B8*H8</f>
        <v>450680.7814981469</v>
      </c>
      <c r="D8" s="3">
        <v>405765.62</v>
      </c>
      <c r="E8" s="3">
        <f t="shared" si="0"/>
        <v>418780.13850185316</v>
      </c>
      <c r="F8" s="24">
        <f t="shared" si="1"/>
        <v>842440.5</v>
      </c>
      <c r="G8" s="3">
        <v>869460.92</v>
      </c>
      <c r="H8" s="198">
        <f t="shared" si="2"/>
        <v>1.0320739802989054</v>
      </c>
      <c r="I8" s="4"/>
    </row>
    <row r="9" spans="1:8" ht="15">
      <c r="A9" s="1" t="s">
        <v>14</v>
      </c>
      <c r="B9" s="3">
        <v>436812.88</v>
      </c>
      <c r="C9" s="3">
        <f>B9*H9</f>
        <v>549237.4152890523</v>
      </c>
      <c r="D9" s="3">
        <v>302386.32</v>
      </c>
      <c r="E9" s="3">
        <f t="shared" si="0"/>
        <v>380212.8747109478</v>
      </c>
      <c r="F9" s="24">
        <f t="shared" si="1"/>
        <v>739199.2</v>
      </c>
      <c r="G9" s="3">
        <v>929450.29</v>
      </c>
      <c r="H9" s="198">
        <f t="shared" si="2"/>
        <v>1.2573745886088623</v>
      </c>
    </row>
    <row r="10" spans="1:10" ht="15">
      <c r="A10" s="1" t="s">
        <v>15</v>
      </c>
      <c r="B10" s="3">
        <v>433807.15</v>
      </c>
      <c r="C10" s="3">
        <f>B10*H10</f>
        <v>450330.90839394054</v>
      </c>
      <c r="D10" s="3">
        <v>291712.05</v>
      </c>
      <c r="E10" s="3">
        <f t="shared" si="0"/>
        <v>302823.3916060595</v>
      </c>
      <c r="F10" s="24">
        <f t="shared" si="1"/>
        <v>725519.2</v>
      </c>
      <c r="G10" s="3">
        <v>753154.3</v>
      </c>
      <c r="H10" s="198">
        <f t="shared" si="2"/>
        <v>1.0380901015438324</v>
      </c>
      <c r="J10" s="4"/>
    </row>
    <row r="11" spans="1:8" ht="15">
      <c r="A11" s="1" t="s">
        <v>16</v>
      </c>
      <c r="B11" s="3">
        <v>436430.45</v>
      </c>
      <c r="C11" s="3">
        <f>B11*H11</f>
        <v>407628.79048364575</v>
      </c>
      <c r="D11" s="3">
        <v>324421.74</v>
      </c>
      <c r="E11" s="3">
        <f t="shared" si="0"/>
        <v>303011.9495163543</v>
      </c>
      <c r="F11" s="24">
        <f t="shared" si="1"/>
        <v>760852.19</v>
      </c>
      <c r="G11" s="3">
        <v>710640.74</v>
      </c>
      <c r="H11" s="198">
        <f t="shared" si="2"/>
        <v>0.9340063015393306</v>
      </c>
    </row>
    <row r="12" spans="1:8" ht="15">
      <c r="A12" s="1" t="s">
        <v>17</v>
      </c>
      <c r="B12" s="3">
        <v>437919.74</v>
      </c>
      <c r="C12" s="3">
        <f>B12*H12</f>
        <v>277038.8433071056</v>
      </c>
      <c r="D12" s="3">
        <v>705674.72</v>
      </c>
      <c r="E12" s="3">
        <f t="shared" si="0"/>
        <v>446427.25669289444</v>
      </c>
      <c r="F12" s="24">
        <f t="shared" si="1"/>
        <v>1143594.46</v>
      </c>
      <c r="G12" s="3">
        <v>723466.1</v>
      </c>
      <c r="H12" s="198">
        <f t="shared" si="2"/>
        <v>0.6326246980944626</v>
      </c>
    </row>
    <row r="13" spans="1:8" ht="15">
      <c r="A13" s="1" t="s">
        <v>18</v>
      </c>
      <c r="B13" s="3">
        <v>559327.92</v>
      </c>
      <c r="C13" s="3">
        <f>B13*H13</f>
        <v>369057.9965601326</v>
      </c>
      <c r="D13" s="3">
        <v>715460.94</v>
      </c>
      <c r="E13" s="3">
        <f t="shared" si="0"/>
        <v>472078.3134398676</v>
      </c>
      <c r="F13" s="24">
        <f t="shared" si="1"/>
        <v>1274788.8599999999</v>
      </c>
      <c r="G13" s="3">
        <v>841136.31</v>
      </c>
      <c r="H13" s="198">
        <f t="shared" si="2"/>
        <v>0.6598240197988553</v>
      </c>
    </row>
    <row r="14" spans="1:8" ht="15">
      <c r="A14" s="1" t="s">
        <v>20</v>
      </c>
      <c r="B14" s="3">
        <v>450244.01</v>
      </c>
      <c r="C14" s="3">
        <f>B14*H14</f>
        <v>303139.6214925791</v>
      </c>
      <c r="D14" s="3">
        <v>719014.32</v>
      </c>
      <c r="E14" s="3">
        <f t="shared" si="0"/>
        <v>484096.8985074208</v>
      </c>
      <c r="F14" s="24">
        <f t="shared" si="1"/>
        <v>1169258.33</v>
      </c>
      <c r="G14" s="3">
        <v>787236.52</v>
      </c>
      <c r="H14" s="198">
        <f t="shared" si="2"/>
        <v>0.6732785217788442</v>
      </c>
    </row>
    <row r="15" spans="1:8" ht="15">
      <c r="A15" s="1" t="s">
        <v>21</v>
      </c>
      <c r="B15" s="3">
        <v>451781.96</v>
      </c>
      <c r="C15" s="3">
        <f>B15*H15</f>
        <v>537777.5706707743</v>
      </c>
      <c r="D15" s="3">
        <v>806610.65</v>
      </c>
      <c r="E15" s="3">
        <f t="shared" si="0"/>
        <v>960147.0493292257</v>
      </c>
      <c r="F15" s="24">
        <f t="shared" si="1"/>
        <v>1258392.61</v>
      </c>
      <c r="G15" s="3">
        <f>958013.51+539911.11</f>
        <v>1497924.62</v>
      </c>
      <c r="H15" s="198">
        <f t="shared" si="2"/>
        <v>1.1903475974799311</v>
      </c>
    </row>
    <row r="16" spans="1:7" ht="15">
      <c r="A16" s="45" t="s">
        <v>126</v>
      </c>
      <c r="B16" s="46">
        <f aca="true" t="shared" si="3" ref="B16:G16">SUM(B4:B15)</f>
        <v>5261161.569999999</v>
      </c>
      <c r="C16" s="46">
        <f t="shared" si="3"/>
        <v>4838580.704418221</v>
      </c>
      <c r="D16" s="46">
        <f t="shared" si="3"/>
        <v>6947516</v>
      </c>
      <c r="E16" s="46">
        <f t="shared" si="3"/>
        <v>6138978.78558178</v>
      </c>
      <c r="F16" s="46">
        <f t="shared" si="3"/>
        <v>12208677.569999998</v>
      </c>
      <c r="G16" s="46">
        <f t="shared" si="3"/>
        <v>10977559.489999998</v>
      </c>
    </row>
    <row r="17" spans="1:7" ht="15">
      <c r="A17" s="45" t="s">
        <v>125</v>
      </c>
      <c r="B17" s="46"/>
      <c r="C17" s="46"/>
      <c r="D17" s="46"/>
      <c r="E17" s="46"/>
      <c r="F17" s="46">
        <v>964899.99</v>
      </c>
      <c r="G17" s="46"/>
    </row>
    <row r="18" spans="1:8" ht="15">
      <c r="A18" s="45" t="s">
        <v>114</v>
      </c>
      <c r="B18" s="76"/>
      <c r="C18" s="104"/>
      <c r="D18" s="24"/>
      <c r="E18" s="24"/>
      <c r="F18" s="76">
        <f>F16+F17</f>
        <v>13173577.559999999</v>
      </c>
      <c r="G18" s="50">
        <f>G16+G17</f>
        <v>10977559.489999998</v>
      </c>
      <c r="H18" s="107"/>
    </row>
    <row r="19" spans="1:7" ht="21">
      <c r="A19" s="144" t="s">
        <v>127</v>
      </c>
      <c r="B19" s="144"/>
      <c r="C19" s="144"/>
      <c r="D19" s="144"/>
      <c r="E19" s="144"/>
      <c r="F19" s="199">
        <f>F18-G18</f>
        <v>2196018.0700000003</v>
      </c>
      <c r="G19" s="200"/>
    </row>
    <row r="20" spans="1:7" ht="15">
      <c r="A20" s="8"/>
      <c r="B20" s="4"/>
      <c r="C20" s="4"/>
      <c r="D20" s="4"/>
      <c r="E20" s="9"/>
      <c r="F20" s="9"/>
      <c r="G20" s="9"/>
    </row>
    <row r="21" spans="1:6" ht="15">
      <c r="A21" s="4"/>
      <c r="C21" s="4"/>
      <c r="E21" s="4"/>
      <c r="F21" s="4"/>
    </row>
    <row r="22" ht="15">
      <c r="F22" s="4"/>
    </row>
  </sheetData>
  <sheetProtection/>
  <mergeCells count="6">
    <mergeCell ref="F2:G2"/>
    <mergeCell ref="B2:C2"/>
    <mergeCell ref="D2:E2"/>
    <mergeCell ref="A1:G1"/>
    <mergeCell ref="A19:E19"/>
    <mergeCell ref="F19:G19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33.00390625" style="0" customWidth="1"/>
    <col min="2" max="2" width="19.57421875" style="0" customWidth="1"/>
    <col min="3" max="3" width="16.28125" style="37" customWidth="1"/>
    <col min="4" max="4" width="15.8515625" style="0" customWidth="1"/>
    <col min="5" max="5" width="12.8515625" style="0" customWidth="1"/>
    <col min="6" max="6" width="15.00390625" style="0" customWidth="1"/>
    <col min="7" max="7" width="14.28125" style="0" customWidth="1"/>
  </cols>
  <sheetData>
    <row r="1" spans="1:6" ht="23.25">
      <c r="A1" s="183" t="s">
        <v>104</v>
      </c>
      <c r="B1" s="183"/>
      <c r="C1" s="183"/>
      <c r="D1" s="183"/>
      <c r="E1" s="183"/>
      <c r="F1" s="183"/>
    </row>
    <row r="2" spans="1:6" ht="18.75">
      <c r="A2" s="177" t="s">
        <v>71</v>
      </c>
      <c r="B2" s="177"/>
      <c r="C2" s="177"/>
      <c r="D2" s="177"/>
      <c r="E2" s="177"/>
      <c r="F2" s="177"/>
    </row>
    <row r="3" spans="1:6" ht="18.75">
      <c r="A3" s="178" t="s">
        <v>95</v>
      </c>
      <c r="B3" s="178"/>
      <c r="C3" s="178"/>
      <c r="D3" s="178"/>
      <c r="E3" s="178"/>
      <c r="F3" s="178"/>
    </row>
    <row r="4" spans="1:6" ht="15.75" customHeight="1">
      <c r="A4" s="179" t="s">
        <v>105</v>
      </c>
      <c r="B4" s="180" t="s">
        <v>72</v>
      </c>
      <c r="C4" s="180" t="s">
        <v>73</v>
      </c>
      <c r="D4" s="180" t="s">
        <v>96</v>
      </c>
      <c r="E4" s="184" t="s">
        <v>75</v>
      </c>
      <c r="F4" s="184"/>
    </row>
    <row r="5" spans="1:6" ht="32.25" customHeight="1">
      <c r="A5" s="179"/>
      <c r="B5" s="180"/>
      <c r="C5" s="180"/>
      <c r="D5" s="180"/>
      <c r="E5" s="38" t="s">
        <v>76</v>
      </c>
      <c r="F5" s="87" t="s">
        <v>77</v>
      </c>
    </row>
    <row r="6" spans="1:6" ht="19.5" customHeight="1">
      <c r="A6" s="125"/>
      <c r="B6" s="127">
        <f>F38</f>
        <v>1537310.67</v>
      </c>
      <c r="C6" s="124"/>
      <c r="D6" s="124"/>
      <c r="E6" s="124"/>
      <c r="F6" s="87"/>
    </row>
    <row r="7" spans="1:6" ht="15">
      <c r="A7" s="34" t="s">
        <v>78</v>
      </c>
      <c r="B7" s="88">
        <f>277014.27+247.29+180.54+888.3</f>
        <v>278330.39999999997</v>
      </c>
      <c r="C7" s="108">
        <v>0</v>
      </c>
      <c r="D7" s="108">
        <f>B7-C7</f>
        <v>278330.39999999997</v>
      </c>
      <c r="E7" s="109"/>
      <c r="F7" s="59"/>
    </row>
    <row r="8" spans="1:6" ht="15">
      <c r="A8" s="34" t="s">
        <v>79</v>
      </c>
      <c r="B8" s="88">
        <f>735216+1550.87+2770.63</f>
        <v>739537.5</v>
      </c>
      <c r="C8" s="108">
        <v>0</v>
      </c>
      <c r="D8" s="108">
        <f aca="true" t="shared" si="0" ref="D8:D19">B8-C8</f>
        <v>739537.5</v>
      </c>
      <c r="E8" s="110"/>
      <c r="F8" s="34"/>
    </row>
    <row r="9" spans="1:6" ht="15">
      <c r="A9" s="34" t="s">
        <v>80</v>
      </c>
      <c r="B9" s="88">
        <f>1377950.14+4260+1348.8-2556-668.59-1701.5</f>
        <v>1378632.8499999999</v>
      </c>
      <c r="C9" s="108">
        <v>0</v>
      </c>
      <c r="D9" s="108">
        <f t="shared" si="0"/>
        <v>1378632.8499999999</v>
      </c>
      <c r="E9" s="110"/>
      <c r="F9" s="34"/>
    </row>
    <row r="10" spans="1:6" ht="15">
      <c r="A10" s="34" t="s">
        <v>81</v>
      </c>
      <c r="B10" s="88">
        <f>187939.11+42.89-91.06</f>
        <v>187890.94</v>
      </c>
      <c r="C10" s="108">
        <v>0</v>
      </c>
      <c r="D10" s="108">
        <f t="shared" si="0"/>
        <v>187890.94</v>
      </c>
      <c r="E10" s="110"/>
      <c r="F10" s="34"/>
    </row>
    <row r="11" spans="1:6" ht="15">
      <c r="A11" s="34" t="s">
        <v>82</v>
      </c>
      <c r="B11" s="88">
        <f>76707.39+161.9+289.07</f>
        <v>77158.36</v>
      </c>
      <c r="C11" s="108">
        <v>0</v>
      </c>
      <c r="D11" s="108">
        <f t="shared" si="0"/>
        <v>77158.36</v>
      </c>
      <c r="E11" s="110"/>
      <c r="F11" s="34"/>
    </row>
    <row r="12" spans="1:6" ht="15">
      <c r="A12" s="34" t="s">
        <v>110</v>
      </c>
      <c r="B12" s="88">
        <f>170778.82+360.22+643.57</f>
        <v>171782.61000000002</v>
      </c>
      <c r="C12" s="108">
        <v>0</v>
      </c>
      <c r="D12" s="108">
        <f t="shared" si="0"/>
        <v>171782.61000000002</v>
      </c>
      <c r="E12" s="110"/>
      <c r="F12" s="34"/>
    </row>
    <row r="13" spans="1:6" ht="15">
      <c r="A13" s="34" t="s">
        <v>85</v>
      </c>
      <c r="B13" s="88">
        <f>254143.15+531.23-569.92</f>
        <v>254104.46</v>
      </c>
      <c r="C13" s="108">
        <v>0</v>
      </c>
      <c r="D13" s="108">
        <f t="shared" si="0"/>
        <v>254104.46</v>
      </c>
      <c r="E13" s="110"/>
      <c r="F13" s="34"/>
    </row>
    <row r="14" spans="1:6" ht="15">
      <c r="A14" s="34" t="s">
        <v>86</v>
      </c>
      <c r="B14" s="88">
        <f>117231.33+441.77</f>
        <v>117673.1</v>
      </c>
      <c r="C14" s="108">
        <v>0</v>
      </c>
      <c r="D14" s="108">
        <f t="shared" si="0"/>
        <v>117673.1</v>
      </c>
      <c r="E14" s="110"/>
      <c r="F14" s="34"/>
    </row>
    <row r="15" spans="1:6" ht="15">
      <c r="A15" s="34" t="s">
        <v>33</v>
      </c>
      <c r="B15" s="88">
        <f>248540+28665+816+416.72-247.1-4725</f>
        <v>273465.62</v>
      </c>
      <c r="C15" s="108">
        <v>0</v>
      </c>
      <c r="D15" s="108">
        <f t="shared" si="0"/>
        <v>273465.62</v>
      </c>
      <c r="E15" s="110"/>
      <c r="F15" s="34"/>
    </row>
    <row r="16" spans="1:6" ht="15">
      <c r="A16" s="34" t="s">
        <v>88</v>
      </c>
      <c r="B16" s="88">
        <f>81523+473.88-84</f>
        <v>81912.88</v>
      </c>
      <c r="C16" s="108">
        <v>0</v>
      </c>
      <c r="D16" s="108">
        <f t="shared" si="0"/>
        <v>81912.88</v>
      </c>
      <c r="E16" s="111"/>
      <c r="F16" s="34"/>
    </row>
    <row r="17" spans="1:6" ht="15">
      <c r="A17" s="34" t="s">
        <v>111</v>
      </c>
      <c r="B17" s="88">
        <v>87041.21</v>
      </c>
      <c r="C17" s="108">
        <v>0</v>
      </c>
      <c r="D17" s="108">
        <f t="shared" si="0"/>
        <v>87041.21</v>
      </c>
      <c r="E17" s="110"/>
      <c r="F17" s="34"/>
    </row>
    <row r="18" spans="1:6" ht="15">
      <c r="A18" s="34" t="s">
        <v>98</v>
      </c>
      <c r="B18" s="88">
        <v>1842.45</v>
      </c>
      <c r="C18" s="108">
        <v>0</v>
      </c>
      <c r="D18" s="108">
        <f t="shared" si="0"/>
        <v>1842.45</v>
      </c>
      <c r="E18" s="110"/>
      <c r="F18" s="34"/>
    </row>
    <row r="19" spans="1:6" ht="15">
      <c r="A19" s="34" t="s">
        <v>99</v>
      </c>
      <c r="B19" s="88">
        <v>477.91</v>
      </c>
      <c r="C19" s="108">
        <v>0</v>
      </c>
      <c r="D19" s="108">
        <f t="shared" si="0"/>
        <v>477.91</v>
      </c>
      <c r="E19" s="110"/>
      <c r="F19" s="34"/>
    </row>
    <row r="20" spans="1:6" ht="15">
      <c r="A20" s="45" t="s">
        <v>89</v>
      </c>
      <c r="B20" s="112">
        <f>SUM(B7:B19)</f>
        <v>3649850.29</v>
      </c>
      <c r="C20" s="112">
        <f>SUM(C7:C19)</f>
        <v>0</v>
      </c>
      <c r="D20" s="112">
        <f>SUM(B20:C20)</f>
        <v>3649850.29</v>
      </c>
      <c r="E20" s="113"/>
      <c r="F20" s="114"/>
    </row>
    <row r="21" spans="1:6" ht="18.75">
      <c r="A21" s="166" t="s">
        <v>90</v>
      </c>
      <c r="B21" s="166"/>
      <c r="C21" s="166"/>
      <c r="D21" s="166"/>
      <c r="E21" s="166"/>
      <c r="F21" s="167"/>
    </row>
    <row r="22" spans="1:6" ht="30">
      <c r="A22" s="115"/>
      <c r="B22" s="35" t="s">
        <v>72</v>
      </c>
      <c r="C22" s="35" t="s">
        <v>73</v>
      </c>
      <c r="D22" s="116" t="s">
        <v>74</v>
      </c>
      <c r="E22" s="113"/>
      <c r="F22" s="34"/>
    </row>
    <row r="23" spans="1:6" ht="15">
      <c r="A23" s="34" t="s">
        <v>100</v>
      </c>
      <c r="B23" s="88">
        <f>263804.42+30983.87+551.42-19.94-1033-116.14-105.27</f>
        <v>294065.3599999999</v>
      </c>
      <c r="C23" s="91">
        <v>0</v>
      </c>
      <c r="D23" s="92">
        <f>B23-C23</f>
        <v>294065.3599999999</v>
      </c>
      <c r="E23" s="110">
        <v>0</v>
      </c>
      <c r="F23" s="117"/>
    </row>
    <row r="24" spans="1:7" ht="15">
      <c r="A24" s="34" t="s">
        <v>101</v>
      </c>
      <c r="B24" s="88">
        <f>617278.68+96789.36+2185.68+250.37+79.58-3320.28+27.39-40.45</f>
        <v>713250.3300000001</v>
      </c>
      <c r="C24" s="91">
        <v>0</v>
      </c>
      <c r="D24" s="92">
        <f>B24-C24</f>
        <v>713250.3300000001</v>
      </c>
      <c r="E24" s="110">
        <v>0</v>
      </c>
      <c r="F24" s="117"/>
      <c r="G24" s="34"/>
    </row>
    <row r="25" spans="1:6" ht="15">
      <c r="A25" s="34" t="s">
        <v>103</v>
      </c>
      <c r="B25" s="88">
        <f>417815.67+26820+17312.24+1168.27-33.78-1857.73-131.74-89.67</f>
        <v>461003.26</v>
      </c>
      <c r="C25" s="91">
        <v>0</v>
      </c>
      <c r="D25" s="92">
        <f>B25-C25</f>
        <v>461003.26</v>
      </c>
      <c r="E25" s="110">
        <v>0</v>
      </c>
      <c r="F25" s="117"/>
    </row>
    <row r="26" spans="1:6" ht="15">
      <c r="A26" s="34" t="s">
        <v>109</v>
      </c>
      <c r="B26" s="88">
        <f>1899493.65+189632.19+1801.31+27271.24-43855.95-8508.77+3216.16</f>
        <v>2069049.83</v>
      </c>
      <c r="C26" s="91">
        <v>0</v>
      </c>
      <c r="D26" s="92">
        <f>B26-C26</f>
        <v>2069049.83</v>
      </c>
      <c r="E26" s="118">
        <v>0</v>
      </c>
      <c r="F26" s="117"/>
    </row>
    <row r="27" spans="1:6" ht="15">
      <c r="A27" s="34" t="s">
        <v>102</v>
      </c>
      <c r="B27" s="88">
        <f>893217.69+9628.02+67241.69+40690.93+171426.91-1041.77-243-7258.42-57.15-516.24</f>
        <v>1173088.6600000001</v>
      </c>
      <c r="C27" s="91">
        <v>0</v>
      </c>
      <c r="D27" s="92">
        <f>B27-C27</f>
        <v>1173088.6600000001</v>
      </c>
      <c r="E27" s="118">
        <v>0</v>
      </c>
      <c r="F27" s="117"/>
    </row>
    <row r="28" spans="1:6" ht="15">
      <c r="A28" s="34" t="s">
        <v>92</v>
      </c>
      <c r="B28" s="93">
        <f>B23+B24+B25+B26+B27</f>
        <v>4710457.44</v>
      </c>
      <c r="C28" s="93">
        <f>SUM(C23:C27)</f>
        <v>0</v>
      </c>
      <c r="D28" s="94">
        <f>SUM(D23:D27)</f>
        <v>4710457.44</v>
      </c>
      <c r="E28" s="113">
        <f>SUM(E23:E27)</f>
        <v>0</v>
      </c>
      <c r="F28" s="45"/>
    </row>
    <row r="29" spans="1:6" ht="36.75" customHeight="1">
      <c r="A29" s="95" t="s">
        <v>93</v>
      </c>
      <c r="B29" s="95"/>
      <c r="C29" s="96">
        <v>0</v>
      </c>
      <c r="D29" s="97"/>
      <c r="E29" s="90"/>
      <c r="F29" s="1"/>
    </row>
    <row r="30" spans="1:6" ht="15">
      <c r="A30" s="13" t="s">
        <v>89</v>
      </c>
      <c r="B30" s="89">
        <f>B28+B20</f>
        <v>8360307.73</v>
      </c>
      <c r="C30" s="89">
        <f>C20+C28+C29</f>
        <v>0</v>
      </c>
      <c r="D30" s="98">
        <f>B30-C30</f>
        <v>8360307.73</v>
      </c>
      <c r="E30" s="90">
        <f>E28+E20</f>
        <v>0</v>
      </c>
      <c r="F30" s="1"/>
    </row>
    <row r="31" spans="1:6" ht="15">
      <c r="A31" s="168">
        <v>8360307.73</v>
      </c>
      <c r="B31" s="169"/>
      <c r="C31" s="169"/>
      <c r="D31" s="169"/>
      <c r="E31" s="169"/>
      <c r="F31" s="170"/>
    </row>
    <row r="32" spans="1:6" ht="18.75">
      <c r="A32" s="99" t="s">
        <v>94</v>
      </c>
      <c r="B32" s="100">
        <f>B30</f>
        <v>8360307.73</v>
      </c>
      <c r="C32" s="100">
        <f>C30</f>
        <v>0</v>
      </c>
      <c r="D32" s="101">
        <f>B32-C32</f>
        <v>8360307.73</v>
      </c>
      <c r="E32" s="171">
        <f>E30+F30</f>
        <v>0</v>
      </c>
      <c r="F32" s="173"/>
    </row>
    <row r="33" ht="15">
      <c r="B33" s="126"/>
    </row>
    <row r="35" spans="1:7" ht="21">
      <c r="A35" s="147" t="s">
        <v>28</v>
      </c>
      <c r="B35" s="148"/>
      <c r="C35" s="148"/>
      <c r="D35" s="148"/>
      <c r="E35" s="148"/>
      <c r="F35" s="148"/>
      <c r="G35" s="148"/>
    </row>
    <row r="36" spans="1:7" ht="18.75">
      <c r="A36" s="1"/>
      <c r="B36" s="149" t="s">
        <v>0</v>
      </c>
      <c r="C36" s="149"/>
      <c r="D36" s="149" t="s">
        <v>1</v>
      </c>
      <c r="E36" s="149"/>
      <c r="F36" s="149" t="s">
        <v>2</v>
      </c>
      <c r="G36" s="149"/>
    </row>
    <row r="37" spans="1:7" ht="15">
      <c r="A37" s="1"/>
      <c r="B37" s="102" t="s">
        <v>8</v>
      </c>
      <c r="C37" s="102" t="s">
        <v>9</v>
      </c>
      <c r="D37" s="102" t="s">
        <v>8</v>
      </c>
      <c r="E37" s="102" t="s">
        <v>9</v>
      </c>
      <c r="F37" s="102" t="s">
        <v>8</v>
      </c>
      <c r="G37" s="102" t="s">
        <v>9</v>
      </c>
    </row>
    <row r="38" spans="1:7" ht="15">
      <c r="A38" s="13" t="s">
        <v>67</v>
      </c>
      <c r="B38" s="102"/>
      <c r="C38" s="102"/>
      <c r="D38" s="102"/>
      <c r="E38" s="102"/>
      <c r="F38" s="79">
        <v>1537310.67</v>
      </c>
      <c r="G38" s="102"/>
    </row>
    <row r="39" spans="1:8" ht="15">
      <c r="A39" s="1" t="s">
        <v>3</v>
      </c>
      <c r="B39" s="3">
        <f>F39-D39</f>
        <v>345295.48</v>
      </c>
      <c r="C39" s="3">
        <f aca="true" t="shared" si="1" ref="C39:C50">B39*H39</f>
        <v>245502.92307143507</v>
      </c>
      <c r="D39" s="3">
        <v>474675.88</v>
      </c>
      <c r="E39" s="3">
        <f aca="true" t="shared" si="2" ref="E39:E50">H39*D39</f>
        <v>337491.57692856493</v>
      </c>
      <c r="F39" s="3">
        <v>819971.36</v>
      </c>
      <c r="G39" s="24">
        <v>582994.5</v>
      </c>
      <c r="H39" s="10">
        <f>(G39*100)/F39/100</f>
        <v>0.7109937351958244</v>
      </c>
    </row>
    <row r="40" spans="1:8" ht="15">
      <c r="A40" s="1" t="s">
        <v>4</v>
      </c>
      <c r="B40" s="3">
        <f aca="true" t="shared" si="3" ref="B40:B48">F40-D40</f>
        <v>344247.38999999996</v>
      </c>
      <c r="C40" s="3">
        <f t="shared" si="1"/>
        <v>344346.39829041075</v>
      </c>
      <c r="D40" s="3">
        <v>481494.7</v>
      </c>
      <c r="E40" s="3">
        <f t="shared" si="2"/>
        <v>481633.1817095893</v>
      </c>
      <c r="F40" s="3">
        <v>825742.09</v>
      </c>
      <c r="G40" s="24">
        <v>825979.58</v>
      </c>
      <c r="H40" s="10">
        <f aca="true" t="shared" si="4" ref="H40:H52">(G40*100)/F40/100</f>
        <v>1.000287607962433</v>
      </c>
    </row>
    <row r="41" spans="1:8" ht="15">
      <c r="A41" s="1" t="s">
        <v>5</v>
      </c>
      <c r="B41" s="3">
        <f t="shared" si="3"/>
        <v>288924.75</v>
      </c>
      <c r="C41" s="3">
        <f t="shared" si="1"/>
        <v>234768.5781027484</v>
      </c>
      <c r="D41" s="3">
        <v>359651.85</v>
      </c>
      <c r="E41" s="3">
        <f t="shared" si="2"/>
        <v>292238.5618972516</v>
      </c>
      <c r="F41" s="3">
        <v>648576.6</v>
      </c>
      <c r="G41" s="24">
        <v>527007.14</v>
      </c>
      <c r="H41" s="10">
        <f t="shared" si="4"/>
        <v>0.8125595958904469</v>
      </c>
    </row>
    <row r="42" spans="1:8" ht="15">
      <c r="A42" s="1" t="s">
        <v>6</v>
      </c>
      <c r="B42" s="3">
        <f t="shared" si="3"/>
        <v>298503.63</v>
      </c>
      <c r="C42" s="3">
        <f t="shared" si="1"/>
        <v>299291.4159132555</v>
      </c>
      <c r="D42" s="3">
        <v>416330.24</v>
      </c>
      <c r="E42" s="3">
        <f t="shared" si="2"/>
        <v>417428.98408674455</v>
      </c>
      <c r="F42" s="3">
        <v>714833.87</v>
      </c>
      <c r="G42" s="24">
        <v>716720.4</v>
      </c>
      <c r="H42" s="10">
        <f t="shared" si="4"/>
        <v>1.0026391166943447</v>
      </c>
    </row>
    <row r="43" spans="1:8" ht="15">
      <c r="A43" s="1" t="s">
        <v>7</v>
      </c>
      <c r="B43" s="3">
        <f t="shared" si="3"/>
        <v>295697.3</v>
      </c>
      <c r="C43" s="3">
        <f t="shared" si="1"/>
        <v>290341.9198441395</v>
      </c>
      <c r="D43" s="3">
        <v>427808.55</v>
      </c>
      <c r="E43" s="3">
        <f t="shared" si="2"/>
        <v>420060.5001558605</v>
      </c>
      <c r="F43" s="3">
        <v>723505.85</v>
      </c>
      <c r="G43" s="24">
        <v>710402.42</v>
      </c>
      <c r="H43" s="10">
        <f t="shared" si="4"/>
        <v>0.9818889785065318</v>
      </c>
    </row>
    <row r="44" spans="1:8" ht="15">
      <c r="A44" s="1" t="s">
        <v>14</v>
      </c>
      <c r="B44" s="3">
        <f t="shared" si="3"/>
        <v>291243.5</v>
      </c>
      <c r="C44" s="3">
        <f t="shared" si="1"/>
        <v>302952.4995654047</v>
      </c>
      <c r="D44" s="3">
        <v>313951.76</v>
      </c>
      <c r="E44" s="3">
        <f t="shared" si="2"/>
        <v>326573.7104345953</v>
      </c>
      <c r="F44" s="3">
        <v>605195.26</v>
      </c>
      <c r="G44" s="24">
        <v>629526.21</v>
      </c>
      <c r="H44" s="31">
        <f t="shared" si="4"/>
        <v>1.0402034708599668</v>
      </c>
    </row>
    <row r="45" spans="1:8" ht="15">
      <c r="A45" s="1" t="s">
        <v>15</v>
      </c>
      <c r="B45" s="3">
        <f t="shared" si="3"/>
        <v>301919.47</v>
      </c>
      <c r="C45" s="3">
        <f t="shared" si="1"/>
        <v>272343.400648146</v>
      </c>
      <c r="D45" s="24">
        <v>192074.79</v>
      </c>
      <c r="E45" s="24">
        <f t="shared" si="2"/>
        <v>173259.11935185402</v>
      </c>
      <c r="F45" s="24">
        <v>493994.26</v>
      </c>
      <c r="G45" s="24">
        <v>445602.52</v>
      </c>
      <c r="H45" s="10">
        <f t="shared" si="4"/>
        <v>0.9020398739046077</v>
      </c>
    </row>
    <row r="46" spans="1:8" ht="15">
      <c r="A46" s="1" t="s">
        <v>16</v>
      </c>
      <c r="B46" s="3">
        <f t="shared" si="3"/>
        <v>296055.89999999997</v>
      </c>
      <c r="C46" s="3">
        <f t="shared" si="1"/>
        <v>336494.42783867114</v>
      </c>
      <c r="D46" s="24">
        <v>157042.45</v>
      </c>
      <c r="E46" s="24">
        <f t="shared" si="2"/>
        <v>178493.01216132878</v>
      </c>
      <c r="F46" s="24">
        <v>453098.35</v>
      </c>
      <c r="G46" s="24">
        <v>514987.44</v>
      </c>
      <c r="H46" s="10">
        <f t="shared" si="4"/>
        <v>1.1365908527364974</v>
      </c>
    </row>
    <row r="47" spans="1:8" ht="15">
      <c r="A47" s="1" t="s">
        <v>17</v>
      </c>
      <c r="B47" s="3">
        <f t="shared" si="3"/>
        <v>295763.9</v>
      </c>
      <c r="C47" s="3">
        <f t="shared" si="1"/>
        <v>214872.58481595764</v>
      </c>
      <c r="D47" s="24">
        <v>316574.75</v>
      </c>
      <c r="E47" s="24">
        <f t="shared" si="2"/>
        <v>229991.67518404234</v>
      </c>
      <c r="F47" s="24">
        <v>612338.65</v>
      </c>
      <c r="G47" s="24">
        <v>444864.26</v>
      </c>
      <c r="H47" s="10">
        <f t="shared" si="4"/>
        <v>0.7265003768747897</v>
      </c>
    </row>
    <row r="48" spans="1:8" ht="15">
      <c r="A48" s="1" t="s">
        <v>18</v>
      </c>
      <c r="B48" s="3">
        <f t="shared" si="3"/>
        <v>300164.45000000007</v>
      </c>
      <c r="C48" s="3">
        <f t="shared" si="1"/>
        <v>245284.45418168043</v>
      </c>
      <c r="D48" s="24">
        <v>451456.36</v>
      </c>
      <c r="E48" s="24">
        <f t="shared" si="2"/>
        <v>368915.19581831957</v>
      </c>
      <c r="F48" s="24">
        <v>751620.81</v>
      </c>
      <c r="G48" s="24">
        <v>614199.65</v>
      </c>
      <c r="H48" s="10">
        <f t="shared" si="4"/>
        <v>0.8171669036146032</v>
      </c>
    </row>
    <row r="49" spans="1:8" ht="15">
      <c r="A49" s="1" t="s">
        <v>20</v>
      </c>
      <c r="B49" s="3">
        <f>F49-D49</f>
        <v>295414.02</v>
      </c>
      <c r="C49" s="3">
        <f t="shared" si="1"/>
        <v>260266.73754289767</v>
      </c>
      <c r="D49" s="24">
        <v>559146.22</v>
      </c>
      <c r="E49" s="24">
        <f t="shared" si="2"/>
        <v>492621.0424571024</v>
      </c>
      <c r="F49" s="24">
        <v>854560.24</v>
      </c>
      <c r="G49" s="24">
        <v>752887.78</v>
      </c>
      <c r="H49" s="10">
        <f t="shared" si="4"/>
        <v>0.8810236479057346</v>
      </c>
    </row>
    <row r="50" spans="1:8" ht="15">
      <c r="A50" s="1" t="s">
        <v>21</v>
      </c>
      <c r="B50" s="3">
        <f>F50-D50</f>
        <v>295957.1</v>
      </c>
      <c r="C50" s="3">
        <f t="shared" si="1"/>
        <v>281774.38284477004</v>
      </c>
      <c r="D50" s="24">
        <v>560913.49</v>
      </c>
      <c r="E50" s="24">
        <f t="shared" si="2"/>
        <v>534033.65715523</v>
      </c>
      <c r="F50" s="24">
        <v>856870.59</v>
      </c>
      <c r="G50" s="24">
        <f>785805.83+30002.21</f>
        <v>815808.0399999999</v>
      </c>
      <c r="H50" s="10">
        <f t="shared" si="4"/>
        <v>0.9520784696321529</v>
      </c>
    </row>
    <row r="51" spans="1:8" ht="15">
      <c r="A51" s="45" t="s">
        <v>68</v>
      </c>
      <c r="B51" s="3">
        <f aca="true" t="shared" si="5" ref="B51:G51">SUM(B39:B50)</f>
        <v>3649186.89</v>
      </c>
      <c r="C51" s="3">
        <f t="shared" si="5"/>
        <v>3328239.722659516</v>
      </c>
      <c r="D51" s="24">
        <f t="shared" si="5"/>
        <v>4711121.040000001</v>
      </c>
      <c r="E51" s="24">
        <f t="shared" si="5"/>
        <v>4252740.217340483</v>
      </c>
      <c r="F51" s="24">
        <f t="shared" si="5"/>
        <v>8360307.93</v>
      </c>
      <c r="G51" s="24">
        <f t="shared" si="5"/>
        <v>7580979.94</v>
      </c>
      <c r="H51" s="10">
        <f t="shared" si="4"/>
        <v>0.9067823821173535</v>
      </c>
    </row>
    <row r="52" spans="1:8" ht="15">
      <c r="A52" s="45" t="s">
        <v>69</v>
      </c>
      <c r="B52" s="4"/>
      <c r="C52" s="4"/>
      <c r="D52" s="4"/>
      <c r="E52" s="4"/>
      <c r="F52" s="3">
        <f>F51+F38</f>
        <v>9897618.6</v>
      </c>
      <c r="G52" s="3">
        <f>G51</f>
        <v>7580979.94</v>
      </c>
      <c r="H52" s="10">
        <f t="shared" si="4"/>
        <v>0.7659397928305703</v>
      </c>
    </row>
    <row r="53" spans="1:7" ht="21">
      <c r="A53" s="144" t="s">
        <v>70</v>
      </c>
      <c r="B53" s="144"/>
      <c r="C53" s="144"/>
      <c r="D53" s="144"/>
      <c r="E53" s="144"/>
      <c r="F53" s="143">
        <f>F52-G52</f>
        <v>2316638.659999999</v>
      </c>
      <c r="G53" s="143"/>
    </row>
    <row r="55" spans="1:7" ht="15">
      <c r="A55" t="s">
        <v>112</v>
      </c>
      <c r="G55" s="4"/>
    </row>
  </sheetData>
  <sheetProtection/>
  <mergeCells count="17">
    <mergeCell ref="A53:E53"/>
    <mergeCell ref="F53:G53"/>
    <mergeCell ref="E4:F4"/>
    <mergeCell ref="A21:F21"/>
    <mergeCell ref="A31:F31"/>
    <mergeCell ref="E32:F32"/>
    <mergeCell ref="A35:G35"/>
    <mergeCell ref="B36:C36"/>
    <mergeCell ref="D36:E36"/>
    <mergeCell ref="F36:G36"/>
    <mergeCell ref="A1:F1"/>
    <mergeCell ref="A2:F2"/>
    <mergeCell ref="A3:F3"/>
    <mergeCell ref="A4:A5"/>
    <mergeCell ref="B4:B5"/>
    <mergeCell ref="C4:C5"/>
    <mergeCell ref="D4:D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B172"/>
  <sheetViews>
    <sheetView zoomScalePageLayoutView="0" workbookViewId="0" topLeftCell="A109">
      <selection activeCell="G166" sqref="G166"/>
    </sheetView>
  </sheetViews>
  <sheetFormatPr defaultColWidth="9.140625" defaultRowHeight="15"/>
  <cols>
    <col min="1" max="1" width="19.421875" style="0" customWidth="1"/>
    <col min="2" max="2" width="15.7109375" style="0" customWidth="1"/>
    <col min="3" max="3" width="19.140625" style="0" customWidth="1"/>
    <col min="4" max="4" width="21.57421875" style="0" customWidth="1"/>
    <col min="5" max="5" width="20.57421875" style="0" customWidth="1"/>
    <col min="6" max="6" width="15.8515625" style="0" customWidth="1"/>
    <col min="7" max="7" width="14.57421875" style="0" customWidth="1"/>
    <col min="8" max="8" width="14.28125" style="0" customWidth="1"/>
    <col min="9" max="9" width="7.57421875" style="0" customWidth="1"/>
    <col min="10" max="10" width="20.7109375" style="0" customWidth="1"/>
    <col min="11" max="11" width="22.7109375" style="0" customWidth="1"/>
    <col min="12" max="12" width="14.8515625" style="0" customWidth="1"/>
    <col min="13" max="13" width="13.28125" style="0" customWidth="1"/>
    <col min="14" max="14" width="15.57421875" style="0" customWidth="1"/>
  </cols>
  <sheetData>
    <row r="1" spans="1:7" ht="18.75">
      <c r="A1" s="139" t="s">
        <v>47</v>
      </c>
      <c r="B1" s="140"/>
      <c r="C1" s="140"/>
      <c r="D1" s="140"/>
      <c r="E1" s="140"/>
      <c r="F1" s="140"/>
      <c r="G1" s="140"/>
    </row>
    <row r="2" spans="1:9" ht="21">
      <c r="A2" s="155" t="s">
        <v>23</v>
      </c>
      <c r="B2" s="155"/>
      <c r="C2" s="155"/>
      <c r="D2" s="155"/>
      <c r="E2" s="155"/>
      <c r="F2" s="155"/>
      <c r="G2" s="155"/>
      <c r="I2" t="s">
        <v>19</v>
      </c>
    </row>
    <row r="3" spans="1:8" ht="87" customHeight="1">
      <c r="A3" s="1"/>
      <c r="B3" s="158" t="s">
        <v>39</v>
      </c>
      <c r="C3" s="158"/>
      <c r="D3" s="159" t="s">
        <v>37</v>
      </c>
      <c r="E3" s="160"/>
      <c r="F3" s="159" t="s">
        <v>38</v>
      </c>
      <c r="G3" s="160"/>
      <c r="H3" t="s">
        <v>31</v>
      </c>
    </row>
    <row r="4" spans="1:14" ht="15">
      <c r="A4" s="1"/>
      <c r="B4" s="53" t="s">
        <v>8</v>
      </c>
      <c r="C4" s="53" t="s">
        <v>9</v>
      </c>
      <c r="D4" s="53" t="s">
        <v>8</v>
      </c>
      <c r="E4" s="53" t="s">
        <v>9</v>
      </c>
      <c r="F4" s="53" t="s">
        <v>8</v>
      </c>
      <c r="G4" s="53" t="s">
        <v>9</v>
      </c>
      <c r="L4" t="s">
        <v>59</v>
      </c>
      <c r="M4" t="s">
        <v>58</v>
      </c>
      <c r="N4" t="s">
        <v>44</v>
      </c>
    </row>
    <row r="5" spans="1:14" ht="15">
      <c r="A5" s="1" t="s">
        <v>3</v>
      </c>
      <c r="B5" s="3">
        <f>430879.42+2754.59</f>
        <v>433634.01</v>
      </c>
      <c r="C5" s="3">
        <f aca="true" t="shared" si="0" ref="C5:C16">B5*I5</f>
        <v>349662.12715998595</v>
      </c>
      <c r="D5" s="3">
        <v>638982.88</v>
      </c>
      <c r="E5" s="3">
        <f aca="true" t="shared" si="1" ref="E5:E16">D5*I5</f>
        <v>515245.82455978036</v>
      </c>
      <c r="F5" s="24">
        <v>940252.84</v>
      </c>
      <c r="G5" s="3">
        <v>758175.79</v>
      </c>
      <c r="H5" s="4">
        <f>F5-G5</f>
        <v>182077.04999999993</v>
      </c>
      <c r="I5" s="10">
        <f>G5*100/F5/100</f>
        <v>0.8063530975349141</v>
      </c>
      <c r="K5" t="s">
        <v>61</v>
      </c>
      <c r="L5" s="4">
        <v>142748.43</v>
      </c>
      <c r="M5" s="4">
        <v>48110.3</v>
      </c>
      <c r="N5" s="4">
        <f>L5+M5</f>
        <v>190858.72999999998</v>
      </c>
    </row>
    <row r="6" spans="1:14" ht="15">
      <c r="A6" s="1" t="s">
        <v>4</v>
      </c>
      <c r="B6" s="3">
        <f>448361.99+1949.59</f>
        <v>450311.58</v>
      </c>
      <c r="C6" s="3">
        <f t="shared" si="0"/>
        <v>319265.27372579125</v>
      </c>
      <c r="D6" s="3">
        <v>774144.18</v>
      </c>
      <c r="E6" s="3">
        <f t="shared" si="1"/>
        <v>548858.5337532919</v>
      </c>
      <c r="F6" s="24">
        <v>1213365.06</v>
      </c>
      <c r="G6" s="3">
        <v>860260.64</v>
      </c>
      <c r="H6" s="4">
        <f aca="true" t="shared" si="2" ref="H6:H16">F6-G6</f>
        <v>353104.42000000004</v>
      </c>
      <c r="I6" s="10">
        <f>G6*100/F6/100</f>
        <v>0.7089874831239988</v>
      </c>
      <c r="K6" t="s">
        <v>63</v>
      </c>
      <c r="L6" s="4">
        <v>546574.66</v>
      </c>
      <c r="M6" s="4"/>
      <c r="N6" s="4">
        <f>L6+M6</f>
        <v>546574.66</v>
      </c>
    </row>
    <row r="7" spans="1:14" ht="15">
      <c r="A7" s="1" t="s">
        <v>5</v>
      </c>
      <c r="B7" s="3">
        <f>444388.42+16747.9-18771.18</f>
        <v>442365.14</v>
      </c>
      <c r="C7" s="3">
        <f t="shared" si="0"/>
        <v>407118.9137647614</v>
      </c>
      <c r="D7" s="3">
        <v>694912.36</v>
      </c>
      <c r="E7" s="3">
        <f t="shared" si="1"/>
        <v>639543.9865919517</v>
      </c>
      <c r="F7" s="24">
        <v>1143913.19</v>
      </c>
      <c r="G7" s="3">
        <v>1052769.88</v>
      </c>
      <c r="H7" s="4">
        <f t="shared" si="2"/>
        <v>91143.31000000006</v>
      </c>
      <c r="I7" s="10">
        <f>G7*100/F7/100</f>
        <v>0.9203232283736494</v>
      </c>
      <c r="K7" t="s">
        <v>57</v>
      </c>
      <c r="L7" s="4"/>
      <c r="M7" s="4"/>
      <c r="N7" s="4">
        <f>L7+M7</f>
        <v>0</v>
      </c>
    </row>
    <row r="8" spans="1:14" ht="15">
      <c r="A8" s="1" t="s">
        <v>6</v>
      </c>
      <c r="B8" s="3">
        <f>443653.42-6233.97</f>
        <v>437419.45</v>
      </c>
      <c r="C8" s="3">
        <f t="shared" si="0"/>
        <v>487613.5220855602</v>
      </c>
      <c r="D8" s="3">
        <v>642316.23</v>
      </c>
      <c r="E8" s="3">
        <f t="shared" si="1"/>
        <v>716022.2966834665</v>
      </c>
      <c r="F8" s="24">
        <v>1070987.14</v>
      </c>
      <c r="G8" s="3">
        <v>1193883.38</v>
      </c>
      <c r="H8" s="4">
        <f t="shared" si="2"/>
        <v>-122896.23999999999</v>
      </c>
      <c r="I8" s="10">
        <f aca="true" t="shared" si="3" ref="I8:I16">G8*100/F8/100</f>
        <v>1.1147504348184796</v>
      </c>
      <c r="K8" t="s">
        <v>60</v>
      </c>
      <c r="L8" s="4">
        <f>643025.17+98771.78</f>
        <v>741796.9500000001</v>
      </c>
      <c r="M8" s="4">
        <v>98771.78</v>
      </c>
      <c r="N8" s="4">
        <f>L8+M8</f>
        <v>840568.7300000001</v>
      </c>
    </row>
    <row r="9" spans="1:14" ht="15">
      <c r="A9" s="1" t="s">
        <v>7</v>
      </c>
      <c r="B9" s="3">
        <f aca="true" t="shared" si="4" ref="B9:B16">F9-D9</f>
        <v>436674.88</v>
      </c>
      <c r="C9" s="3">
        <f t="shared" si="0"/>
        <v>379000.2492141444</v>
      </c>
      <c r="D9" s="3">
        <v>565096.87</v>
      </c>
      <c r="E9" s="3">
        <f t="shared" si="1"/>
        <v>490460.67078585556</v>
      </c>
      <c r="F9" s="24">
        <v>1001771.75</v>
      </c>
      <c r="G9" s="3">
        <v>869460.92</v>
      </c>
      <c r="H9" s="4">
        <f t="shared" si="2"/>
        <v>132310.82999999996</v>
      </c>
      <c r="I9" s="10">
        <f t="shared" si="3"/>
        <v>0.8679231771109537</v>
      </c>
      <c r="K9" t="s">
        <v>62</v>
      </c>
      <c r="L9" s="4">
        <v>3918152.41</v>
      </c>
      <c r="M9" s="4"/>
      <c r="N9" s="4">
        <f>L9+M9</f>
        <v>3918152.41</v>
      </c>
    </row>
    <row r="10" spans="1:14" ht="15">
      <c r="A10" s="1" t="s">
        <v>14</v>
      </c>
      <c r="B10" s="3">
        <f t="shared" si="4"/>
        <v>436812.87999999995</v>
      </c>
      <c r="C10" s="3">
        <f t="shared" si="0"/>
        <v>481849.25708677253</v>
      </c>
      <c r="D10" s="3">
        <v>405765.69</v>
      </c>
      <c r="E10" s="3">
        <f t="shared" si="1"/>
        <v>447601.03291322745</v>
      </c>
      <c r="F10" s="24">
        <v>842578.57</v>
      </c>
      <c r="G10" s="3">
        <v>929450.29</v>
      </c>
      <c r="H10" s="4">
        <f t="shared" si="2"/>
        <v>-86871.72000000009</v>
      </c>
      <c r="I10" s="10">
        <f t="shared" si="3"/>
        <v>1.1031022187046604</v>
      </c>
      <c r="K10" t="s">
        <v>10</v>
      </c>
      <c r="L10" s="4"/>
      <c r="M10" s="4"/>
      <c r="N10" s="30">
        <f>SUM(N5:N9)</f>
        <v>5496154.53</v>
      </c>
    </row>
    <row r="11" spans="1:14" ht="15">
      <c r="A11" s="1" t="s">
        <v>15</v>
      </c>
      <c r="B11" s="3">
        <f t="shared" si="4"/>
        <v>433807.14999999997</v>
      </c>
      <c r="C11" s="3">
        <f t="shared" si="0"/>
        <v>443801.43767540477</v>
      </c>
      <c r="D11" s="3">
        <v>302386.32</v>
      </c>
      <c r="E11" s="3">
        <f t="shared" si="1"/>
        <v>309352.8623245952</v>
      </c>
      <c r="F11" s="24">
        <v>736193.47</v>
      </c>
      <c r="G11" s="3">
        <v>753154.3</v>
      </c>
      <c r="H11" s="4">
        <f t="shared" si="2"/>
        <v>-16960.830000000075</v>
      </c>
      <c r="I11" s="10">
        <f t="shared" si="3"/>
        <v>1.0230385499072683</v>
      </c>
      <c r="J11" s="4"/>
      <c r="L11" s="4"/>
      <c r="M11" s="4"/>
      <c r="N11" s="4"/>
    </row>
    <row r="12" spans="1:14" ht="15">
      <c r="A12" s="1" t="s">
        <v>16</v>
      </c>
      <c r="B12" s="3">
        <f t="shared" si="4"/>
        <v>436430.45</v>
      </c>
      <c r="C12" s="3">
        <f t="shared" si="0"/>
        <v>425940.33166108694</v>
      </c>
      <c r="D12" s="3">
        <v>291712.05</v>
      </c>
      <c r="E12" s="3">
        <f t="shared" si="1"/>
        <v>284700.40833891305</v>
      </c>
      <c r="F12" s="24">
        <v>728142.5</v>
      </c>
      <c r="G12" s="3">
        <v>710640.74</v>
      </c>
      <c r="H12" s="4">
        <f t="shared" si="2"/>
        <v>17501.76000000001</v>
      </c>
      <c r="I12" s="10">
        <f t="shared" si="3"/>
        <v>0.9759638257621276</v>
      </c>
      <c r="L12" s="4"/>
      <c r="M12" s="4"/>
      <c r="N12" s="4"/>
    </row>
    <row r="13" spans="1:10" ht="15">
      <c r="A13" s="1" t="s">
        <v>17</v>
      </c>
      <c r="B13" s="3">
        <f t="shared" si="4"/>
        <v>437919.74</v>
      </c>
      <c r="C13" s="3">
        <f t="shared" si="0"/>
        <v>415588.15140272054</v>
      </c>
      <c r="D13" s="3">
        <v>324421.74</v>
      </c>
      <c r="E13" s="3">
        <f t="shared" si="1"/>
        <v>307877.94859727955</v>
      </c>
      <c r="F13" s="24">
        <v>762341.48</v>
      </c>
      <c r="G13" s="3">
        <v>723466.1</v>
      </c>
      <c r="H13" s="4">
        <f t="shared" si="2"/>
        <v>38875.380000000005</v>
      </c>
      <c r="I13" s="10">
        <f t="shared" si="3"/>
        <v>0.9490052935332866</v>
      </c>
      <c r="J13" s="4"/>
    </row>
    <row r="14" spans="1:9" ht="15">
      <c r="A14" s="1" t="s">
        <v>18</v>
      </c>
      <c r="B14" s="3">
        <f t="shared" si="4"/>
        <v>688290.8200000001</v>
      </c>
      <c r="C14" s="3">
        <f t="shared" si="0"/>
        <v>415323.32323055435</v>
      </c>
      <c r="D14" s="3">
        <v>705674.72</v>
      </c>
      <c r="E14" s="3">
        <f t="shared" si="1"/>
        <v>425812.98676944565</v>
      </c>
      <c r="F14" s="24">
        <v>1393965.54</v>
      </c>
      <c r="G14" s="3">
        <v>841136.31</v>
      </c>
      <c r="H14" s="4">
        <f t="shared" si="2"/>
        <v>552829.23</v>
      </c>
      <c r="I14" s="10">
        <f t="shared" si="3"/>
        <v>0.6034125563821326</v>
      </c>
    </row>
    <row r="15" spans="1:9" ht="15">
      <c r="A15" s="1" t="s">
        <v>20</v>
      </c>
      <c r="B15" s="3">
        <f t="shared" si="4"/>
        <v>450243.93999999994</v>
      </c>
      <c r="C15" s="3">
        <f t="shared" si="0"/>
        <v>304063.6430008673</v>
      </c>
      <c r="D15" s="3">
        <v>715460.94</v>
      </c>
      <c r="E15" s="3">
        <f t="shared" si="1"/>
        <v>483172.8769991328</v>
      </c>
      <c r="F15" s="24">
        <v>1165704.88</v>
      </c>
      <c r="G15" s="3">
        <v>787236.52</v>
      </c>
      <c r="H15" s="4">
        <f t="shared" si="2"/>
        <v>378468.35999999987</v>
      </c>
      <c r="I15" s="10">
        <f t="shared" si="3"/>
        <v>0.67533089507183</v>
      </c>
    </row>
    <row r="16" spans="1:10" ht="15">
      <c r="A16" s="1" t="s">
        <v>21</v>
      </c>
      <c r="B16" s="3">
        <f t="shared" si="4"/>
        <v>451781.9600000001</v>
      </c>
      <c r="C16" s="3">
        <f t="shared" si="0"/>
        <v>578012.8723639738</v>
      </c>
      <c r="D16" s="3">
        <v>719014.32</v>
      </c>
      <c r="E16" s="3">
        <f t="shared" si="1"/>
        <v>919911.7476360261</v>
      </c>
      <c r="F16" s="24">
        <v>1170796.28</v>
      </c>
      <c r="G16" s="3">
        <f>958013.51+539911.11</f>
        <v>1497924.62</v>
      </c>
      <c r="H16" s="4">
        <f t="shared" si="2"/>
        <v>-327128.3400000001</v>
      </c>
      <c r="I16" s="10">
        <f t="shared" si="3"/>
        <v>1.2794067128399143</v>
      </c>
      <c r="J16" s="4"/>
    </row>
    <row r="17" spans="1:10" ht="15">
      <c r="A17" s="45" t="s">
        <v>10</v>
      </c>
      <c r="B17" s="46">
        <f aca="true" t="shared" si="5" ref="B17:H17">SUM(B5:B16)</f>
        <v>5535692.000000001</v>
      </c>
      <c r="C17" s="46">
        <f t="shared" si="5"/>
        <v>5007239.102371624</v>
      </c>
      <c r="D17" s="46">
        <f t="shared" si="5"/>
        <v>6779888.300000001</v>
      </c>
      <c r="E17" s="46">
        <f t="shared" si="5"/>
        <v>6088561.175952965</v>
      </c>
      <c r="F17" s="46">
        <f>SUM(F5:F16)</f>
        <v>12170012.699999997</v>
      </c>
      <c r="G17" s="46">
        <f t="shared" si="5"/>
        <v>10977559.489999998</v>
      </c>
      <c r="H17" s="9">
        <f t="shared" si="5"/>
        <v>1192453.2099999997</v>
      </c>
      <c r="J17" s="4"/>
    </row>
    <row r="18" spans="1:8" ht="22.5" customHeight="1">
      <c r="A18" s="185" t="s">
        <v>50</v>
      </c>
      <c r="B18" s="186"/>
      <c r="C18" s="186"/>
      <c r="D18" s="186"/>
      <c r="E18" s="69"/>
      <c r="F18" s="69"/>
      <c r="G18" s="70"/>
      <c r="H18" s="9"/>
    </row>
    <row r="19" spans="1:184" ht="30">
      <c r="A19" s="35" t="s">
        <v>56</v>
      </c>
      <c r="B19" s="59" t="s">
        <v>54</v>
      </c>
      <c r="C19" s="59" t="s">
        <v>48</v>
      </c>
      <c r="D19" s="59" t="s">
        <v>49</v>
      </c>
      <c r="E19" s="65"/>
      <c r="F19" s="65"/>
      <c r="G19" s="72"/>
      <c r="H19" s="60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</row>
    <row r="20" spans="1:184" ht="18" customHeight="1">
      <c r="A20" s="34" t="s">
        <v>51</v>
      </c>
      <c r="B20" s="24">
        <v>18647</v>
      </c>
      <c r="C20" s="24">
        <v>355476.72</v>
      </c>
      <c r="D20" s="24">
        <f>C20</f>
        <v>355476.72</v>
      </c>
      <c r="E20" s="47">
        <f>D26-D17</f>
        <v>762825.3499999996</v>
      </c>
      <c r="F20" s="47"/>
      <c r="G20" s="9"/>
      <c r="H20" s="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</row>
    <row r="21" spans="1:184" ht="13.5" customHeight="1">
      <c r="A21" s="34" t="s">
        <v>65</v>
      </c>
      <c r="B21" s="24"/>
      <c r="C21" s="24">
        <v>1010279.72</v>
      </c>
      <c r="D21" s="24">
        <f>C21</f>
        <v>1010279.72</v>
      </c>
      <c r="E21" s="47"/>
      <c r="F21" s="47"/>
      <c r="G21" s="9"/>
      <c r="H21" s="9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</row>
    <row r="22" spans="1:184" ht="13.5" customHeight="1">
      <c r="A22" s="34" t="s">
        <v>66</v>
      </c>
      <c r="B22" s="24"/>
      <c r="C22" s="62">
        <f>4770776.96-1010279.72</f>
        <v>3760497.24</v>
      </c>
      <c r="D22" s="24">
        <f>C22</f>
        <v>3760497.24</v>
      </c>
      <c r="E22" s="47"/>
      <c r="F22" s="47"/>
      <c r="G22" s="9"/>
      <c r="H22" s="9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</row>
    <row r="23" spans="1:184" ht="13.5" customHeight="1">
      <c r="A23" s="5" t="s">
        <v>64</v>
      </c>
      <c r="B23" s="25">
        <f>B20+B21</f>
        <v>18647</v>
      </c>
      <c r="C23" s="71">
        <v>648119.57</v>
      </c>
      <c r="D23" s="25">
        <f>C23</f>
        <v>648119.57</v>
      </c>
      <c r="E23" s="47"/>
      <c r="F23" s="47"/>
      <c r="G23" s="9"/>
      <c r="H23" s="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</row>
    <row r="24" spans="1:184" ht="13.5" customHeight="1">
      <c r="A24" s="34" t="s">
        <v>52</v>
      </c>
      <c r="B24" s="24">
        <v>658680</v>
      </c>
      <c r="C24" s="187">
        <v>1768340.4</v>
      </c>
      <c r="D24" s="189">
        <f>C24</f>
        <v>1768340.4</v>
      </c>
      <c r="E24" s="47"/>
      <c r="F24" s="47"/>
      <c r="G24" s="9"/>
      <c r="H24" s="9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</row>
    <row r="25" spans="1:184" ht="13.5" customHeight="1">
      <c r="A25" s="34" t="s">
        <v>53</v>
      </c>
      <c r="B25" s="24">
        <v>210480</v>
      </c>
      <c r="C25" s="188"/>
      <c r="D25" s="189"/>
      <c r="E25" s="47"/>
      <c r="F25" s="47"/>
      <c r="G25" s="9"/>
      <c r="H25" s="9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</row>
    <row r="26" spans="1:184" ht="13.5" customHeight="1">
      <c r="A26" s="61" t="s">
        <v>10</v>
      </c>
      <c r="B26" s="62"/>
      <c r="C26" s="68">
        <f>C24+C23+C22+C21+C20</f>
        <v>7542713.649999999</v>
      </c>
      <c r="D26" s="24">
        <f>SUM(D20:D25)</f>
        <v>7542713.65</v>
      </c>
      <c r="E26" s="66"/>
      <c r="F26" s="47"/>
      <c r="G26" s="9"/>
      <c r="H26" s="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</row>
    <row r="27" spans="1:184" s="1" customFormat="1" ht="31.5" customHeight="1">
      <c r="A27" s="190" t="s">
        <v>55</v>
      </c>
      <c r="B27" s="191"/>
      <c r="C27" s="54">
        <f>D26-E17</f>
        <v>1454152.474047035</v>
      </c>
      <c r="D27" s="63"/>
      <c r="E27" s="47"/>
      <c r="F27" s="47"/>
      <c r="G27" s="9"/>
      <c r="H27" s="9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</row>
    <row r="28" spans="1:184" ht="13.5" customHeight="1">
      <c r="A28" s="55"/>
      <c r="B28" s="58"/>
      <c r="C28" s="57"/>
      <c r="D28" s="64"/>
      <c r="E28" s="47"/>
      <c r="F28" s="47"/>
      <c r="G28" s="9"/>
      <c r="H28" s="9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</row>
    <row r="29" spans="1:8" ht="26.25" customHeight="1">
      <c r="A29" s="55"/>
      <c r="B29" s="56" t="s">
        <v>8</v>
      </c>
      <c r="C29" s="56" t="s">
        <v>9</v>
      </c>
      <c r="D29" s="56" t="s">
        <v>26</v>
      </c>
      <c r="E29" s="48" t="s">
        <v>41</v>
      </c>
      <c r="F29" s="67" t="s">
        <v>42</v>
      </c>
      <c r="G29" s="52"/>
      <c r="H29" s="9"/>
    </row>
    <row r="30" spans="1:8" ht="15">
      <c r="A30" s="34" t="s">
        <v>46</v>
      </c>
      <c r="B30" s="24">
        <f>13907095-761.41</f>
        <v>13906333.59</v>
      </c>
      <c r="C30" s="24">
        <v>12941433.6</v>
      </c>
      <c r="D30" s="24">
        <f>B30-C30</f>
        <v>964899.9900000002</v>
      </c>
      <c r="E30" s="192">
        <f>D30+D31</f>
        <v>2157353.1999999993</v>
      </c>
      <c r="F30" s="163">
        <v>539911.11</v>
      </c>
      <c r="G30" s="193"/>
      <c r="H30" s="9"/>
    </row>
    <row r="31" spans="1:8" ht="15">
      <c r="A31" s="34" t="s">
        <v>36</v>
      </c>
      <c r="B31" s="24">
        <f>F17</f>
        <v>12170012.699999997</v>
      </c>
      <c r="C31" s="24">
        <f>G17</f>
        <v>10977559.489999998</v>
      </c>
      <c r="D31" s="24">
        <f>B31-C31</f>
        <v>1192453.209999999</v>
      </c>
      <c r="E31" s="192"/>
      <c r="F31" s="163"/>
      <c r="G31" s="193"/>
      <c r="H31" s="9"/>
    </row>
    <row r="32" spans="1:8" ht="15">
      <c r="A32" s="8"/>
      <c r="B32" s="4"/>
      <c r="C32" s="4"/>
      <c r="D32" s="4"/>
      <c r="E32" s="4"/>
      <c r="F32" s="9"/>
      <c r="G32" s="9"/>
      <c r="H32" s="9"/>
    </row>
    <row r="33" spans="1:2" ht="18.75">
      <c r="A33" s="141" t="s">
        <v>40</v>
      </c>
      <c r="B33" s="142"/>
    </row>
    <row r="34" spans="1:7" ht="21">
      <c r="A34" s="194" t="s">
        <v>28</v>
      </c>
      <c r="B34" s="195"/>
      <c r="C34" s="195"/>
      <c r="D34" s="195"/>
      <c r="E34" s="195"/>
      <c r="F34" s="195"/>
      <c r="G34" s="195"/>
    </row>
    <row r="35" spans="1:7" ht="18.75">
      <c r="A35" s="1"/>
      <c r="B35" s="149" t="s">
        <v>0</v>
      </c>
      <c r="C35" s="149"/>
      <c r="D35" s="149" t="s">
        <v>1</v>
      </c>
      <c r="E35" s="149"/>
      <c r="F35" s="149" t="s">
        <v>2</v>
      </c>
      <c r="G35" s="149"/>
    </row>
    <row r="36" spans="1:7" ht="15">
      <c r="A36" s="1"/>
      <c r="B36" s="53" t="s">
        <v>8</v>
      </c>
      <c r="C36" s="53" t="s">
        <v>9</v>
      </c>
      <c r="D36" s="53" t="s">
        <v>8</v>
      </c>
      <c r="E36" s="53" t="s">
        <v>9</v>
      </c>
      <c r="F36" s="53" t="s">
        <v>8</v>
      </c>
      <c r="G36" s="53" t="s">
        <v>9</v>
      </c>
    </row>
    <row r="37" spans="1:9" ht="15">
      <c r="A37" s="1" t="s">
        <v>3</v>
      </c>
      <c r="B37" s="3">
        <f>F37-D37</f>
        <v>345295.48</v>
      </c>
      <c r="C37" s="3">
        <f>B37*I37</f>
        <v>245502.92307143507</v>
      </c>
      <c r="D37" s="3">
        <v>474675.88</v>
      </c>
      <c r="E37" s="3">
        <f>I37*D37</f>
        <v>337491.57692856493</v>
      </c>
      <c r="F37" s="3">
        <v>819971.36</v>
      </c>
      <c r="G37" s="24">
        <v>582994.5</v>
      </c>
      <c r="H37" s="4">
        <f>F37-G37</f>
        <v>236976.86</v>
      </c>
      <c r="I37" s="10">
        <f>(G37*100)/F37/100</f>
        <v>0.7109937351958244</v>
      </c>
    </row>
    <row r="38" spans="1:9" ht="15">
      <c r="A38" s="1" t="s">
        <v>4</v>
      </c>
      <c r="B38" s="3">
        <f aca="true" t="shared" si="6" ref="B38:B46">F38-D38</f>
        <v>344247.38999999996</v>
      </c>
      <c r="C38" s="3">
        <f aca="true" t="shared" si="7" ref="C38:C48">B38*I38</f>
        <v>344346.39829041075</v>
      </c>
      <c r="D38" s="3">
        <v>481494.7</v>
      </c>
      <c r="E38" s="3">
        <f aca="true" t="shared" si="8" ref="E38:E48">I38*D38</f>
        <v>481633.1817095893</v>
      </c>
      <c r="F38" s="3">
        <v>825742.09</v>
      </c>
      <c r="G38" s="24">
        <v>825979.58</v>
      </c>
      <c r="H38" s="4">
        <f aca="true" t="shared" si="9" ref="H38:H48">F38-G38</f>
        <v>-237.4899999999907</v>
      </c>
      <c r="I38" s="10">
        <f aca="true" t="shared" si="10" ref="I38:I49">(G38*100)/F38/100</f>
        <v>1.000287607962433</v>
      </c>
    </row>
    <row r="39" spans="1:9" ht="15">
      <c r="A39" s="1" t="s">
        <v>5</v>
      </c>
      <c r="B39" s="3">
        <f t="shared" si="6"/>
        <v>289734.26</v>
      </c>
      <c r="C39" s="3">
        <f t="shared" si="7"/>
        <v>235132.87606754695</v>
      </c>
      <c r="D39" s="3">
        <v>359651.85</v>
      </c>
      <c r="E39" s="3">
        <f t="shared" si="8"/>
        <v>291874.26393245306</v>
      </c>
      <c r="F39" s="3">
        <v>649386.11</v>
      </c>
      <c r="G39" s="24">
        <v>527007.14</v>
      </c>
      <c r="H39" s="4">
        <f t="shared" si="9"/>
        <v>122378.96999999997</v>
      </c>
      <c r="I39" s="10">
        <f t="shared" si="10"/>
        <v>0.8115466775228686</v>
      </c>
    </row>
    <row r="40" spans="1:9" ht="15">
      <c r="A40" s="1" t="s">
        <v>6</v>
      </c>
      <c r="B40" s="3">
        <f t="shared" si="6"/>
        <v>298352.16000000003</v>
      </c>
      <c r="C40" s="3">
        <f t="shared" si="7"/>
        <v>299202.94589045993</v>
      </c>
      <c r="D40" s="3">
        <v>416330.24</v>
      </c>
      <c r="E40" s="3">
        <f t="shared" si="8"/>
        <v>417517.4541095401</v>
      </c>
      <c r="F40" s="3">
        <v>714682.4</v>
      </c>
      <c r="G40" s="24">
        <v>716720.4</v>
      </c>
      <c r="H40" s="4">
        <f t="shared" si="9"/>
        <v>-2038</v>
      </c>
      <c r="I40" s="10">
        <f t="shared" si="10"/>
        <v>1.002851616326357</v>
      </c>
    </row>
    <row r="41" spans="1:9" ht="15">
      <c r="A41" s="1" t="s">
        <v>7</v>
      </c>
      <c r="B41" s="3">
        <f t="shared" si="6"/>
        <v>296028.34</v>
      </c>
      <c r="C41" s="3">
        <f t="shared" si="7"/>
        <v>290534.03056672454</v>
      </c>
      <c r="D41" s="3">
        <v>427808.55</v>
      </c>
      <c r="E41" s="3">
        <f t="shared" si="8"/>
        <v>419868.3894332755</v>
      </c>
      <c r="F41" s="3">
        <v>723836.89</v>
      </c>
      <c r="G41" s="24">
        <v>710402.42</v>
      </c>
      <c r="H41" s="4">
        <f t="shared" si="9"/>
        <v>13434.469999999972</v>
      </c>
      <c r="I41" s="10">
        <f t="shared" si="10"/>
        <v>0.9814399208086784</v>
      </c>
    </row>
    <row r="42" spans="1:9" ht="15">
      <c r="A42" s="1" t="s">
        <v>14</v>
      </c>
      <c r="B42" s="3">
        <f t="shared" si="6"/>
        <v>291534.69999999995</v>
      </c>
      <c r="C42" s="3">
        <f t="shared" si="7"/>
        <v>303109.5604920496</v>
      </c>
      <c r="D42" s="3">
        <v>313951.76</v>
      </c>
      <c r="E42" s="3">
        <f t="shared" si="8"/>
        <v>326416.64950795035</v>
      </c>
      <c r="F42" s="3">
        <v>605486.46</v>
      </c>
      <c r="G42" s="24">
        <v>629526.21</v>
      </c>
      <c r="H42" s="4">
        <f t="shared" si="9"/>
        <v>-24039.75</v>
      </c>
      <c r="I42" s="31">
        <f t="shared" si="10"/>
        <v>1.039703199969162</v>
      </c>
    </row>
    <row r="43" spans="1:9" ht="15">
      <c r="A43" s="1" t="s">
        <v>15</v>
      </c>
      <c r="B43" s="3">
        <f t="shared" si="6"/>
        <v>302262.67000000004</v>
      </c>
      <c r="C43" s="3">
        <f t="shared" si="7"/>
        <v>272463.687971226</v>
      </c>
      <c r="D43" s="24">
        <v>192074.79</v>
      </c>
      <c r="E43" s="24">
        <f t="shared" si="8"/>
        <v>173138.83202877402</v>
      </c>
      <c r="F43" s="24">
        <v>494337.46</v>
      </c>
      <c r="G43" s="24">
        <v>445602.52</v>
      </c>
      <c r="H43" s="4">
        <f t="shared" si="9"/>
        <v>48734.94</v>
      </c>
      <c r="I43" s="10">
        <f t="shared" si="10"/>
        <v>0.9014136213751633</v>
      </c>
    </row>
    <row r="44" spans="1:9" ht="15">
      <c r="A44" s="1" t="s">
        <v>16</v>
      </c>
      <c r="B44" s="3">
        <f t="shared" si="6"/>
        <v>292834.14999999997</v>
      </c>
      <c r="C44" s="3">
        <f t="shared" si="7"/>
        <v>335216.16650671756</v>
      </c>
      <c r="D44" s="24">
        <v>157042.45</v>
      </c>
      <c r="E44" s="24">
        <f t="shared" si="8"/>
        <v>179771.27349328238</v>
      </c>
      <c r="F44" s="24">
        <v>449876.6</v>
      </c>
      <c r="G44" s="24">
        <v>514987.44</v>
      </c>
      <c r="H44" s="4">
        <f t="shared" si="9"/>
        <v>-65110.840000000026</v>
      </c>
      <c r="I44" s="10">
        <f t="shared" si="10"/>
        <v>1.1447304438594939</v>
      </c>
    </row>
    <row r="45" spans="1:9" ht="15">
      <c r="A45" s="1" t="s">
        <v>17</v>
      </c>
      <c r="B45" s="3">
        <f t="shared" si="6"/>
        <v>296149.72</v>
      </c>
      <c r="C45" s="3">
        <f t="shared" si="7"/>
        <v>215017.4058447628</v>
      </c>
      <c r="D45" s="24">
        <v>316574.75</v>
      </c>
      <c r="E45" s="24">
        <f t="shared" si="8"/>
        <v>229846.8541552372</v>
      </c>
      <c r="F45" s="24">
        <v>612724.47</v>
      </c>
      <c r="G45" s="24">
        <v>444864.26</v>
      </c>
      <c r="H45" s="4">
        <f t="shared" si="9"/>
        <v>167860.20999999996</v>
      </c>
      <c r="I45" s="10">
        <f t="shared" si="10"/>
        <v>0.7260429145256758</v>
      </c>
    </row>
    <row r="46" spans="1:9" ht="15">
      <c r="A46" s="1" t="s">
        <v>18</v>
      </c>
      <c r="B46" s="3">
        <f t="shared" si="6"/>
        <v>300591.4800000001</v>
      </c>
      <c r="C46" s="3">
        <f t="shared" si="7"/>
        <v>245493.9326851627</v>
      </c>
      <c r="D46" s="24">
        <v>451456.36</v>
      </c>
      <c r="E46" s="24">
        <f t="shared" si="8"/>
        <v>368705.7173148372</v>
      </c>
      <c r="F46" s="24">
        <f>749088.93+994.15+1964.76</f>
        <v>752047.8400000001</v>
      </c>
      <c r="G46" s="24">
        <v>614199.65</v>
      </c>
      <c r="H46" s="4">
        <f t="shared" si="9"/>
        <v>137848.19000000006</v>
      </c>
      <c r="I46" s="10">
        <f t="shared" si="10"/>
        <v>0.816702897517796</v>
      </c>
    </row>
    <row r="47" spans="1:9" ht="15">
      <c r="A47" s="1" t="s">
        <v>20</v>
      </c>
      <c r="B47" s="3">
        <f>F47-D47</f>
        <v>296531.24</v>
      </c>
      <c r="C47" s="3">
        <f t="shared" si="7"/>
        <v>260909.9309268322</v>
      </c>
      <c r="D47" s="24">
        <v>559146.22</v>
      </c>
      <c r="E47" s="24">
        <f t="shared" si="8"/>
        <v>491977.8490731679</v>
      </c>
      <c r="F47" s="24">
        <v>855677.46</v>
      </c>
      <c r="G47" s="24">
        <v>752887.78</v>
      </c>
      <c r="H47" s="4">
        <f t="shared" si="9"/>
        <v>102789.67999999993</v>
      </c>
      <c r="I47" s="10">
        <f t="shared" si="10"/>
        <v>0.8798733345155546</v>
      </c>
    </row>
    <row r="48" spans="1:9" ht="15">
      <c r="A48" s="1" t="s">
        <v>21</v>
      </c>
      <c r="B48" s="3">
        <f>F48-D48</f>
        <v>296288.9</v>
      </c>
      <c r="C48" s="3">
        <f t="shared" si="7"/>
        <v>198278.0252838819</v>
      </c>
      <c r="D48" s="24">
        <v>560913.49</v>
      </c>
      <c r="E48" s="24">
        <f t="shared" si="8"/>
        <v>375366.13471611805</v>
      </c>
      <c r="F48" s="24">
        <v>857202.39</v>
      </c>
      <c r="G48" s="24">
        <v>573644.16</v>
      </c>
      <c r="H48" s="4">
        <f t="shared" si="9"/>
        <v>283558.23</v>
      </c>
      <c r="I48" s="10">
        <f t="shared" si="10"/>
        <v>0.6692050403639215</v>
      </c>
    </row>
    <row r="49" spans="1:9" ht="15">
      <c r="A49" s="1" t="s">
        <v>10</v>
      </c>
      <c r="B49" s="3">
        <f aca="true" t="shared" si="11" ref="B49:G49">SUM(B37:B48)</f>
        <v>3649850.4899999998</v>
      </c>
      <c r="C49" s="3">
        <f t="shared" si="11"/>
        <v>3245207.8835972105</v>
      </c>
      <c r="D49" s="24">
        <f t="shared" si="11"/>
        <v>4711121.040000001</v>
      </c>
      <c r="E49" s="24">
        <f t="shared" si="11"/>
        <v>4093608.1764027905</v>
      </c>
      <c r="F49" s="24">
        <f t="shared" si="11"/>
        <v>8360971.529999999</v>
      </c>
      <c r="G49" s="24">
        <f t="shared" si="11"/>
        <v>7338816.0600000005</v>
      </c>
      <c r="I49" s="10">
        <f t="shared" si="10"/>
        <v>0.8777468065364887</v>
      </c>
    </row>
    <row r="50" spans="2:7" ht="15">
      <c r="B50" s="4"/>
      <c r="C50" s="4"/>
      <c r="D50" s="4"/>
      <c r="E50" s="4"/>
      <c r="F50" s="4"/>
      <c r="G50" s="4"/>
    </row>
    <row r="51" spans="2:7" ht="15">
      <c r="B51" s="4"/>
      <c r="C51" s="4"/>
      <c r="D51" s="4"/>
      <c r="E51" s="4"/>
      <c r="F51" s="4"/>
      <c r="G51" s="4"/>
    </row>
    <row r="52" spans="2:7" ht="15">
      <c r="B52" s="4"/>
      <c r="C52" s="4"/>
      <c r="D52" s="4"/>
      <c r="E52" s="4"/>
      <c r="F52" s="4"/>
      <c r="G52" s="4"/>
    </row>
    <row r="53" spans="1:7" ht="15">
      <c r="A53" s="5" t="str">
        <f>A34</f>
        <v>Окуловская дом 5</v>
      </c>
      <c r="B53" s="29" t="s">
        <v>8</v>
      </c>
      <c r="C53" s="29" t="s">
        <v>9</v>
      </c>
      <c r="D53" s="29" t="s">
        <v>26</v>
      </c>
      <c r="E53" s="29" t="s">
        <v>27</v>
      </c>
      <c r="F53" s="29" t="s">
        <v>42</v>
      </c>
      <c r="G53" s="29" t="s">
        <v>10</v>
      </c>
    </row>
    <row r="54" spans="1:7" ht="15.75">
      <c r="A54" s="5" t="s">
        <v>30</v>
      </c>
      <c r="B54" s="3">
        <v>5349375.48</v>
      </c>
      <c r="C54" s="3">
        <v>3808584.71</v>
      </c>
      <c r="D54" s="18">
        <f>B54-C54</f>
        <v>1540790.7700000005</v>
      </c>
      <c r="E54" s="196">
        <f>D54+D55</f>
        <v>2562946.2399999993</v>
      </c>
      <c r="F54" s="163">
        <v>30665.81</v>
      </c>
      <c r="G54" s="197">
        <f>E54-F54</f>
        <v>2532280.4299999992</v>
      </c>
    </row>
    <row r="55" spans="1:7" ht="15.75">
      <c r="A55" s="5" t="s">
        <v>25</v>
      </c>
      <c r="B55" s="3">
        <f>F49</f>
        <v>8360971.529999999</v>
      </c>
      <c r="C55" s="3">
        <f>G49</f>
        <v>7338816.0600000005</v>
      </c>
      <c r="D55" s="18">
        <f>B55-C55</f>
        <v>1022155.4699999988</v>
      </c>
      <c r="E55" s="196"/>
      <c r="F55" s="163"/>
      <c r="G55" s="197"/>
    </row>
    <row r="56" spans="1:8" ht="18.75">
      <c r="A56" s="141" t="s">
        <v>35</v>
      </c>
      <c r="B56" s="142"/>
      <c r="C56" s="4"/>
      <c r="D56" s="4"/>
      <c r="E56" s="4"/>
      <c r="F56" s="9"/>
      <c r="G56" s="9"/>
      <c r="H56" s="9"/>
    </row>
    <row r="57" spans="1:7" ht="24.75" customHeight="1">
      <c r="A57" s="156" t="s">
        <v>24</v>
      </c>
      <c r="B57" s="157"/>
      <c r="C57" s="157"/>
      <c r="D57" s="157"/>
      <c r="E57" s="157"/>
      <c r="F57" s="157"/>
      <c r="G57" s="157"/>
    </row>
    <row r="58" spans="1:7" ht="18.75">
      <c r="A58" s="1"/>
      <c r="B58" s="149" t="s">
        <v>0</v>
      </c>
      <c r="C58" s="149"/>
      <c r="D58" s="149" t="s">
        <v>1</v>
      </c>
      <c r="E58" s="149"/>
      <c r="F58" s="149" t="s">
        <v>2</v>
      </c>
      <c r="G58" s="149"/>
    </row>
    <row r="59" spans="1:7" ht="15">
      <c r="A59" s="1"/>
      <c r="B59" s="53" t="s">
        <v>8</v>
      </c>
      <c r="C59" s="53" t="s">
        <v>9</v>
      </c>
      <c r="D59" s="53" t="s">
        <v>8</v>
      </c>
      <c r="E59" s="53" t="s">
        <v>9</v>
      </c>
      <c r="F59" s="53" t="s">
        <v>8</v>
      </c>
      <c r="G59" s="53" t="s">
        <v>9</v>
      </c>
    </row>
    <row r="60" spans="1:9" ht="15">
      <c r="A60" s="1" t="s">
        <v>3</v>
      </c>
      <c r="B60" s="3">
        <f>F60-D60</f>
        <v>201808.65000000002</v>
      </c>
      <c r="C60" s="3">
        <f>B60*I60</f>
        <v>150631.15707287416</v>
      </c>
      <c r="D60" s="3">
        <v>549907.47</v>
      </c>
      <c r="E60" s="3">
        <f>D60*I60</f>
        <v>410454.1529271259</v>
      </c>
      <c r="F60" s="3">
        <v>751716.12</v>
      </c>
      <c r="G60" s="3">
        <v>561085.31</v>
      </c>
      <c r="H60" s="4">
        <f>F60-G60</f>
        <v>190630.80999999994</v>
      </c>
      <c r="I60" s="4">
        <f>(G60*100)/F60/100</f>
        <v>0.7464058506554311</v>
      </c>
    </row>
    <row r="61" spans="1:9" ht="15">
      <c r="A61" s="1" t="s">
        <v>4</v>
      </c>
      <c r="B61" s="3">
        <f>207750.16+143.45-66.19</f>
        <v>207827.42</v>
      </c>
      <c r="C61" s="3">
        <f aca="true" t="shared" si="12" ref="C61:C70">B61*I61</f>
        <v>172887.4974184662</v>
      </c>
      <c r="D61" s="3">
        <f>621073.98+372.51-81.59</f>
        <v>621364.9</v>
      </c>
      <c r="E61" s="3">
        <f aca="true" t="shared" si="13" ref="E61:E70">D61*I61</f>
        <v>516901.1025815338</v>
      </c>
      <c r="F61" s="3">
        <f>B61+D61</f>
        <v>829192.3200000001</v>
      </c>
      <c r="G61" s="3">
        <v>689788.6</v>
      </c>
      <c r="H61" s="4">
        <f aca="true" t="shared" si="14" ref="H61:H71">F61-G61</f>
        <v>139403.7200000001</v>
      </c>
      <c r="I61" s="4">
        <f aca="true" t="shared" si="15" ref="I61:I71">(G61*100)/F61/100</f>
        <v>0.8318801119624455</v>
      </c>
    </row>
    <row r="62" spans="1:9" ht="15">
      <c r="A62" s="1" t="s">
        <v>5</v>
      </c>
      <c r="B62" s="3">
        <f>273263.67+4313.15+2688</f>
        <v>280264.82</v>
      </c>
      <c r="C62" s="3">
        <f t="shared" si="12"/>
        <v>195334.75059555564</v>
      </c>
      <c r="D62" s="3">
        <f>763051.58+15526.02-913.02</f>
        <v>777664.58</v>
      </c>
      <c r="E62" s="3">
        <f t="shared" si="13"/>
        <v>542004.9394044444</v>
      </c>
      <c r="F62" s="3">
        <f>B62+D62</f>
        <v>1057929.4</v>
      </c>
      <c r="G62" s="3">
        <v>737339.69</v>
      </c>
      <c r="H62" s="4">
        <f t="shared" si="14"/>
        <v>320589.70999999996</v>
      </c>
      <c r="I62" s="4">
        <f t="shared" si="15"/>
        <v>0.6969649297958824</v>
      </c>
    </row>
    <row r="63" spans="1:9" ht="15">
      <c r="A63" s="1" t="s">
        <v>6</v>
      </c>
      <c r="B63" s="3">
        <f>297144.51+72.51</f>
        <v>297217.02</v>
      </c>
      <c r="C63" s="3">
        <f t="shared" si="12"/>
        <v>210460.5766645157</v>
      </c>
      <c r="D63" s="3">
        <f>869360.95+147.57-7651.89</f>
        <v>861856.6299999999</v>
      </c>
      <c r="E63" s="3">
        <f t="shared" si="13"/>
        <v>610284.1733354843</v>
      </c>
      <c r="F63" s="3">
        <f>B63+D63</f>
        <v>1159073.65</v>
      </c>
      <c r="G63" s="3">
        <v>820744.75</v>
      </c>
      <c r="H63" s="4">
        <f t="shared" si="14"/>
        <v>338328.8999999999</v>
      </c>
      <c r="I63" s="4">
        <f t="shared" si="15"/>
        <v>0.7081040536121239</v>
      </c>
    </row>
    <row r="64" spans="1:9" ht="15">
      <c r="A64" s="1" t="s">
        <v>7</v>
      </c>
      <c r="B64" s="3">
        <f aca="true" t="shared" si="16" ref="B64:B71">F64-D64</f>
        <v>338203.7900000001</v>
      </c>
      <c r="C64" s="3">
        <f t="shared" si="12"/>
        <v>314393.1843645945</v>
      </c>
      <c r="D64" s="3">
        <f>870871.2+1388.9-10426.38-381764.91-900</f>
        <v>479168.81</v>
      </c>
      <c r="E64" s="3">
        <f t="shared" si="13"/>
        <v>445433.82563540555</v>
      </c>
      <c r="F64" s="3">
        <f>1199137.51-381764.91</f>
        <v>817372.6000000001</v>
      </c>
      <c r="G64" s="3">
        <v>759827.01</v>
      </c>
      <c r="H64" s="4">
        <f t="shared" si="14"/>
        <v>57545.590000000084</v>
      </c>
      <c r="I64" s="4">
        <f t="shared" si="15"/>
        <v>0.9295968692858066</v>
      </c>
    </row>
    <row r="65" spans="1:9" ht="15">
      <c r="A65" s="1" t="s">
        <v>14</v>
      </c>
      <c r="B65" s="3">
        <f t="shared" si="16"/>
        <v>408216.24</v>
      </c>
      <c r="C65" s="3">
        <f t="shared" si="12"/>
        <v>319553.7994341208</v>
      </c>
      <c r="D65" s="3">
        <v>340332.24</v>
      </c>
      <c r="E65" s="3">
        <f t="shared" si="13"/>
        <v>266413.8505658792</v>
      </c>
      <c r="F65" s="3">
        <v>748548.48</v>
      </c>
      <c r="G65" s="3">
        <v>585967.65</v>
      </c>
      <c r="H65" s="4">
        <f t="shared" si="14"/>
        <v>162580.82999999996</v>
      </c>
      <c r="I65" s="4">
        <f t="shared" si="15"/>
        <v>0.7828052098910148</v>
      </c>
    </row>
    <row r="66" spans="1:9" ht="15">
      <c r="A66" s="1" t="s">
        <v>15</v>
      </c>
      <c r="B66" s="3">
        <f t="shared" si="16"/>
        <v>439163.55</v>
      </c>
      <c r="C66" s="3">
        <f t="shared" si="12"/>
        <v>438495.26278432156</v>
      </c>
      <c r="D66" s="3">
        <v>386523.09</v>
      </c>
      <c r="E66" s="3">
        <f t="shared" si="13"/>
        <v>385934.9072156785</v>
      </c>
      <c r="F66" s="3">
        <v>825686.64</v>
      </c>
      <c r="G66" s="3">
        <v>824430.17</v>
      </c>
      <c r="H66" s="4">
        <f t="shared" si="14"/>
        <v>1256.469999999972</v>
      </c>
      <c r="I66" s="4">
        <f t="shared" si="15"/>
        <v>0.9984782725805035</v>
      </c>
    </row>
    <row r="67" spans="1:9" ht="15">
      <c r="A67" s="1" t="s">
        <v>16</v>
      </c>
      <c r="B67" s="3">
        <f t="shared" si="16"/>
        <v>466256.24</v>
      </c>
      <c r="C67" s="3">
        <f t="shared" si="12"/>
        <v>415245.45990669774</v>
      </c>
      <c r="D67" s="3">
        <v>336675.73</v>
      </c>
      <c r="E67" s="3">
        <f t="shared" si="13"/>
        <v>299841.7100933023</v>
      </c>
      <c r="F67" s="3">
        <v>802931.97</v>
      </c>
      <c r="G67" s="3">
        <v>715087.17</v>
      </c>
      <c r="H67" s="4">
        <f t="shared" si="14"/>
        <v>87844.79999999993</v>
      </c>
      <c r="I67" s="4">
        <f t="shared" si="15"/>
        <v>0.890594965349306</v>
      </c>
    </row>
    <row r="68" spans="1:9" ht="15">
      <c r="A68" s="1" t="s">
        <v>17</v>
      </c>
      <c r="B68" s="3">
        <f t="shared" si="16"/>
        <v>470106.36</v>
      </c>
      <c r="C68" s="3">
        <f t="shared" si="12"/>
        <v>398139.8383170682</v>
      </c>
      <c r="D68" s="3">
        <v>433254.28</v>
      </c>
      <c r="E68" s="3">
        <f t="shared" si="13"/>
        <v>366929.28168293193</v>
      </c>
      <c r="F68" s="3">
        <v>903360.64</v>
      </c>
      <c r="G68" s="3">
        <v>765069.12</v>
      </c>
      <c r="H68" s="4">
        <f t="shared" si="14"/>
        <v>138291.52000000002</v>
      </c>
      <c r="I68" s="4">
        <f>(G68*100)/F68/100</f>
        <v>0.8469143840493206</v>
      </c>
    </row>
    <row r="69" spans="1:9" ht="15">
      <c r="A69" s="1" t="s">
        <v>18</v>
      </c>
      <c r="B69" s="3">
        <f t="shared" si="16"/>
        <v>475363.47</v>
      </c>
      <c r="C69" s="3">
        <f t="shared" si="12"/>
        <v>321084.5128556194</v>
      </c>
      <c r="D69" s="3">
        <v>1310596.03</v>
      </c>
      <c r="E69" s="3">
        <f t="shared" si="13"/>
        <v>885242.7971443805</v>
      </c>
      <c r="F69" s="3">
        <f>1786535.67-0.01-576.16</f>
        <v>1785959.5</v>
      </c>
      <c r="G69" s="3">
        <v>1206327.31</v>
      </c>
      <c r="H69" s="4">
        <f t="shared" si="14"/>
        <v>579632.19</v>
      </c>
      <c r="I69" s="4">
        <f>(G69*100)/F69/100</f>
        <v>0.6754505407317467</v>
      </c>
    </row>
    <row r="70" spans="1:9" ht="15">
      <c r="A70" s="1" t="s">
        <v>20</v>
      </c>
      <c r="B70" s="3">
        <f t="shared" si="16"/>
        <v>485838.25</v>
      </c>
      <c r="C70" s="3">
        <f t="shared" si="12"/>
        <v>359520.305</v>
      </c>
      <c r="D70" s="3">
        <v>1293893.64</v>
      </c>
      <c r="E70" s="3">
        <f t="shared" si="13"/>
        <v>957481.2935999999</v>
      </c>
      <c r="F70" s="3">
        <v>1779731.89</v>
      </c>
      <c r="G70" s="3">
        <v>1321609.12</v>
      </c>
      <c r="H70" s="4">
        <f t="shared" si="14"/>
        <v>458122.7699999998</v>
      </c>
      <c r="I70" s="4">
        <v>0.74</v>
      </c>
    </row>
    <row r="71" spans="1:9" ht="15">
      <c r="A71" s="1" t="s">
        <v>21</v>
      </c>
      <c r="B71" s="3">
        <f t="shared" si="16"/>
        <v>492348.8699999999</v>
      </c>
      <c r="C71" s="3"/>
      <c r="D71" s="3">
        <v>1260502.1</v>
      </c>
      <c r="E71" s="3"/>
      <c r="F71" s="3">
        <v>1752850.97</v>
      </c>
      <c r="G71" s="3">
        <f>C71+E71</f>
        <v>0</v>
      </c>
      <c r="H71" s="4">
        <f t="shared" si="14"/>
        <v>1752850.97</v>
      </c>
      <c r="I71" s="4">
        <f t="shared" si="15"/>
        <v>0</v>
      </c>
    </row>
    <row r="72" spans="1:8" ht="15.75">
      <c r="A72" s="14" t="s">
        <v>10</v>
      </c>
      <c r="B72" s="18">
        <f aca="true" t="shared" si="17" ref="B72:G72">SUM(B60:B71)</f>
        <v>4562614.680000001</v>
      </c>
      <c r="C72" s="18">
        <f t="shared" si="17"/>
        <v>3295746.344413834</v>
      </c>
      <c r="D72" s="41">
        <f t="shared" si="17"/>
        <v>8651739.5</v>
      </c>
      <c r="E72" s="18">
        <f t="shared" si="17"/>
        <v>5686922.034186166</v>
      </c>
      <c r="F72" s="41">
        <f t="shared" si="17"/>
        <v>13214354.180000002</v>
      </c>
      <c r="G72" s="41">
        <f t="shared" si="17"/>
        <v>8987275.900000002</v>
      </c>
      <c r="H72" s="9"/>
    </row>
    <row r="73" spans="1:8" ht="15.75">
      <c r="A73" s="15"/>
      <c r="B73" s="16"/>
      <c r="C73" s="16"/>
      <c r="D73" s="16"/>
      <c r="E73" s="16"/>
      <c r="F73" s="16"/>
      <c r="G73" s="16"/>
      <c r="H73" s="11"/>
    </row>
    <row r="74" spans="1:8" ht="15.75">
      <c r="A74" s="15"/>
      <c r="B74" s="16"/>
      <c r="C74" s="16"/>
      <c r="D74" s="16"/>
      <c r="E74" s="16"/>
      <c r="F74" s="16"/>
      <c r="G74" s="16"/>
      <c r="H74" s="11"/>
    </row>
    <row r="75" spans="1:8" ht="15.75">
      <c r="A75" s="15"/>
      <c r="B75" s="16"/>
      <c r="C75" s="16"/>
      <c r="D75" s="16"/>
      <c r="E75" s="16"/>
      <c r="F75" s="16"/>
      <c r="G75" s="16"/>
      <c r="H75" s="11"/>
    </row>
    <row r="76" spans="1:8" ht="15">
      <c r="A76" s="5" t="str">
        <f>A57</f>
        <v>Пушкинская 48 за 2013год</v>
      </c>
      <c r="B76" s="17" t="s">
        <v>8</v>
      </c>
      <c r="C76" s="17" t="s">
        <v>9</v>
      </c>
      <c r="D76" s="17" t="s">
        <v>26</v>
      </c>
      <c r="E76" s="1" t="s">
        <v>27</v>
      </c>
      <c r="F76" s="9"/>
      <c r="G76" s="9"/>
      <c r="H76" s="11"/>
    </row>
    <row r="77" spans="1:8" ht="15.75">
      <c r="A77" s="5" t="s">
        <v>30</v>
      </c>
      <c r="B77" s="3">
        <v>4752978.92</v>
      </c>
      <c r="C77" s="3">
        <v>4040799.74</v>
      </c>
      <c r="D77" s="18">
        <f>B77-C77</f>
        <v>712179.1799999997</v>
      </c>
      <c r="E77" s="163">
        <f>D77+D78</f>
        <v>4939257.459999999</v>
      </c>
      <c r="F77" s="11"/>
      <c r="G77" s="11"/>
      <c r="H77" s="11"/>
    </row>
    <row r="78" spans="1:8" ht="15.75">
      <c r="A78" s="5" t="s">
        <v>25</v>
      </c>
      <c r="B78" s="3">
        <f>F72</f>
        <v>13214354.180000002</v>
      </c>
      <c r="C78" s="3">
        <f>G72</f>
        <v>8987275.900000002</v>
      </c>
      <c r="D78" s="18">
        <f>B78-C78</f>
        <v>4227078.279999999</v>
      </c>
      <c r="E78" s="164"/>
      <c r="F78" s="11"/>
      <c r="G78" s="11"/>
      <c r="H78" s="11"/>
    </row>
    <row r="79" spans="1:8" ht="15">
      <c r="A79" s="11"/>
      <c r="B79" s="12"/>
      <c r="C79" s="12"/>
      <c r="D79" s="12"/>
      <c r="E79" s="12"/>
      <c r="F79" s="11"/>
      <c r="G79" s="11"/>
      <c r="H79" s="11"/>
    </row>
    <row r="82" spans="1:2" ht="18.75">
      <c r="A82" s="150" t="s">
        <v>40</v>
      </c>
      <c r="B82" s="151"/>
    </row>
    <row r="83" spans="1:7" ht="21">
      <c r="A83" s="194" t="s">
        <v>11</v>
      </c>
      <c r="B83" s="195"/>
      <c r="C83" s="195"/>
      <c r="D83" s="195"/>
      <c r="E83" s="195"/>
      <c r="F83" s="195"/>
      <c r="G83" s="195"/>
    </row>
    <row r="84" spans="1:7" ht="15">
      <c r="A84" s="1"/>
      <c r="B84" s="146" t="s">
        <v>0</v>
      </c>
      <c r="C84" s="146"/>
      <c r="D84" s="146" t="s">
        <v>1</v>
      </c>
      <c r="E84" s="146"/>
      <c r="F84" s="146" t="s">
        <v>2</v>
      </c>
      <c r="G84" s="146"/>
    </row>
    <row r="85" spans="1:7" ht="15">
      <c r="A85" s="1"/>
      <c r="B85" s="53" t="s">
        <v>8</v>
      </c>
      <c r="C85" s="53" t="s">
        <v>9</v>
      </c>
      <c r="D85" s="53" t="s">
        <v>8</v>
      </c>
      <c r="E85" s="53" t="s">
        <v>9</v>
      </c>
      <c r="F85" s="53" t="s">
        <v>8</v>
      </c>
      <c r="G85" s="53" t="s">
        <v>9</v>
      </c>
    </row>
    <row r="86" spans="1:9" ht="15">
      <c r="A86" s="1" t="s">
        <v>3</v>
      </c>
      <c r="B86" s="19">
        <f>F86-D86</f>
        <v>240121.15999999997</v>
      </c>
      <c r="C86" s="19">
        <f>B86*I86</f>
        <v>203546.61880293683</v>
      </c>
      <c r="D86" s="19">
        <v>411463.84</v>
      </c>
      <c r="E86" s="19">
        <f>D86*I86</f>
        <v>348790.8911970632</v>
      </c>
      <c r="F86" s="19">
        <v>651585</v>
      </c>
      <c r="G86" s="19">
        <v>552337.51</v>
      </c>
      <c r="H86" s="40">
        <f>F86-G86</f>
        <v>99247.48999999999</v>
      </c>
      <c r="I86" s="10">
        <f>(G86*100)/F86/100</f>
        <v>0.8476829730580048</v>
      </c>
    </row>
    <row r="87" spans="1:9" ht="15">
      <c r="A87" s="1" t="s">
        <v>4</v>
      </c>
      <c r="B87" s="19">
        <f aca="true" t="shared" si="18" ref="B87:B97">F87-D87</f>
        <v>261959.75</v>
      </c>
      <c r="C87" s="19">
        <f aca="true" t="shared" si="19" ref="C87:C97">B87*I87</f>
        <v>232484.94572733686</v>
      </c>
      <c r="D87" s="19">
        <v>643326.81</v>
      </c>
      <c r="E87" s="19">
        <f aca="true" t="shared" si="20" ref="E87:E97">D87*I87</f>
        <v>570941.9042726632</v>
      </c>
      <c r="F87" s="19">
        <v>905286.56</v>
      </c>
      <c r="G87" s="19">
        <v>803426.85</v>
      </c>
      <c r="H87" s="40">
        <f aca="true" t="shared" si="21" ref="H87:H97">F87-G87</f>
        <v>101859.71000000008</v>
      </c>
      <c r="I87" s="10">
        <f aca="true" t="shared" si="22" ref="I87:I97">(G87*100)/F87/100</f>
        <v>0.8874834615903278</v>
      </c>
    </row>
    <row r="88" spans="1:9" ht="15">
      <c r="A88" s="1" t="s">
        <v>5</v>
      </c>
      <c r="B88" s="19">
        <f t="shared" si="18"/>
        <v>296137.55999999994</v>
      </c>
      <c r="C88" s="19">
        <f t="shared" si="19"/>
        <v>265294.39670643274</v>
      </c>
      <c r="D88" s="19">
        <v>531987.16</v>
      </c>
      <c r="E88" s="19">
        <f t="shared" si="20"/>
        <v>476579.9132935672</v>
      </c>
      <c r="F88" s="19">
        <v>828124.72</v>
      </c>
      <c r="G88" s="19">
        <v>741874.31</v>
      </c>
      <c r="H88" s="40">
        <f t="shared" si="21"/>
        <v>86250.40999999992</v>
      </c>
      <c r="I88" s="10">
        <f t="shared" si="22"/>
        <v>0.8958485262944451</v>
      </c>
    </row>
    <row r="89" spans="1:9" ht="15">
      <c r="A89" s="1" t="s">
        <v>6</v>
      </c>
      <c r="B89" s="19">
        <f t="shared" si="18"/>
        <v>264756.19000000006</v>
      </c>
      <c r="C89" s="19">
        <f t="shared" si="19"/>
        <v>235901.02910398677</v>
      </c>
      <c r="D89" s="19">
        <v>663039.2</v>
      </c>
      <c r="E89" s="19">
        <f t="shared" si="20"/>
        <v>590776.1008960133</v>
      </c>
      <c r="F89" s="19">
        <v>927795.39</v>
      </c>
      <c r="G89" s="19">
        <v>826677.13</v>
      </c>
      <c r="H89" s="40">
        <f t="shared" si="21"/>
        <v>101118.26000000001</v>
      </c>
      <c r="I89" s="10">
        <f t="shared" si="22"/>
        <v>0.8910123276210717</v>
      </c>
    </row>
    <row r="90" spans="1:9" ht="15">
      <c r="A90" s="1" t="s">
        <v>7</v>
      </c>
      <c r="B90" s="19">
        <f t="shared" si="18"/>
        <v>264929.2</v>
      </c>
      <c r="C90" s="19">
        <f t="shared" si="19"/>
        <v>244763.91244127328</v>
      </c>
      <c r="D90" s="19">
        <v>494168.91</v>
      </c>
      <c r="E90" s="19">
        <f t="shared" si="20"/>
        <v>456554.86755872675</v>
      </c>
      <c r="F90" s="19">
        <v>759098.11</v>
      </c>
      <c r="G90" s="19">
        <v>701318.78</v>
      </c>
      <c r="H90" s="40">
        <f t="shared" si="21"/>
        <v>57779.32999999996</v>
      </c>
      <c r="I90" s="10">
        <f t="shared" si="22"/>
        <v>0.9238842394166942</v>
      </c>
    </row>
    <row r="91" spans="1:9" ht="15">
      <c r="A91" s="1" t="s">
        <v>14</v>
      </c>
      <c r="B91" s="19">
        <f t="shared" si="18"/>
        <v>264929.2</v>
      </c>
      <c r="C91" s="19">
        <f t="shared" si="19"/>
        <v>340927.6471173595</v>
      </c>
      <c r="D91" s="19">
        <v>245895.69</v>
      </c>
      <c r="E91" s="19">
        <f t="shared" si="20"/>
        <v>316434.12288264045</v>
      </c>
      <c r="F91" s="26">
        <v>510824.89</v>
      </c>
      <c r="G91" s="26">
        <v>657361.77</v>
      </c>
      <c r="H91" s="40">
        <f t="shared" si="21"/>
        <v>-146536.88</v>
      </c>
      <c r="I91" s="10">
        <f t="shared" si="22"/>
        <v>1.2868632340918233</v>
      </c>
    </row>
    <row r="92" spans="1:9" ht="15">
      <c r="A92" s="1" t="s">
        <v>15</v>
      </c>
      <c r="B92" s="19">
        <f t="shared" si="18"/>
        <v>262532.04</v>
      </c>
      <c r="C92" s="19">
        <f t="shared" si="19"/>
        <v>401614.47994540574</v>
      </c>
      <c r="D92" s="19">
        <v>163908.63</v>
      </c>
      <c r="E92" s="19">
        <f t="shared" si="20"/>
        <v>250743.03005459422</v>
      </c>
      <c r="F92" s="26">
        <v>426440.67</v>
      </c>
      <c r="G92" s="26">
        <v>652357.51</v>
      </c>
      <c r="H92" s="40">
        <f t="shared" si="21"/>
        <v>-225916.84000000003</v>
      </c>
      <c r="I92" s="10">
        <f t="shared" si="22"/>
        <v>1.5297732038550638</v>
      </c>
    </row>
    <row r="93" spans="1:9" ht="15">
      <c r="A93" s="1" t="s">
        <v>16</v>
      </c>
      <c r="B93" s="19">
        <f t="shared" si="18"/>
        <v>264929.2</v>
      </c>
      <c r="C93" s="19">
        <f t="shared" si="19"/>
        <v>260889.50852757075</v>
      </c>
      <c r="D93" s="19">
        <v>207853.39</v>
      </c>
      <c r="E93" s="19">
        <f t="shared" si="20"/>
        <v>204684.00147242923</v>
      </c>
      <c r="F93" s="26">
        <v>472782.59</v>
      </c>
      <c r="G93" s="26">
        <v>465573.51</v>
      </c>
      <c r="H93" s="40">
        <f t="shared" si="21"/>
        <v>7209.080000000016</v>
      </c>
      <c r="I93" s="10">
        <f t="shared" si="22"/>
        <v>0.9847518073793706</v>
      </c>
    </row>
    <row r="94" spans="1:9" ht="15">
      <c r="A94" s="1" t="s">
        <v>17</v>
      </c>
      <c r="B94" s="19">
        <f t="shared" si="18"/>
        <v>264836.81000000006</v>
      </c>
      <c r="C94" s="19">
        <f t="shared" si="19"/>
        <v>278147.68731295894</v>
      </c>
      <c r="D94" s="19">
        <v>181723.83</v>
      </c>
      <c r="E94" s="19">
        <f t="shared" si="20"/>
        <v>190857.3926870411</v>
      </c>
      <c r="F94" s="26">
        <v>446560.64</v>
      </c>
      <c r="G94" s="26">
        <v>469005.08</v>
      </c>
      <c r="H94" s="40">
        <f t="shared" si="21"/>
        <v>-22444.440000000002</v>
      </c>
      <c r="I94" s="10">
        <f t="shared" si="22"/>
        <v>1.050260676803043</v>
      </c>
    </row>
    <row r="95" spans="1:9" ht="15">
      <c r="A95" s="1" t="s">
        <v>18</v>
      </c>
      <c r="B95" s="19">
        <f t="shared" si="18"/>
        <v>266948.45</v>
      </c>
      <c r="C95" s="19">
        <f t="shared" si="19"/>
        <v>319613.5272730057</v>
      </c>
      <c r="D95" s="19">
        <v>194591.64</v>
      </c>
      <c r="E95" s="19">
        <f t="shared" si="20"/>
        <v>232981.76272699432</v>
      </c>
      <c r="F95" s="26">
        <v>461540.09</v>
      </c>
      <c r="G95" s="26">
        <v>552595.29</v>
      </c>
      <c r="H95" s="40">
        <f t="shared" si="21"/>
        <v>-91055.20000000001</v>
      </c>
      <c r="I95" s="23">
        <f t="shared" si="22"/>
        <v>1.1972855705774117</v>
      </c>
    </row>
    <row r="96" spans="1:9" ht="15">
      <c r="A96" s="1" t="s">
        <v>20</v>
      </c>
      <c r="B96" s="19">
        <f t="shared" si="18"/>
        <v>310134.11</v>
      </c>
      <c r="C96" s="19">
        <f t="shared" si="19"/>
        <v>212280.15350157762</v>
      </c>
      <c r="D96" s="19">
        <v>600980.72</v>
      </c>
      <c r="E96" s="19">
        <f t="shared" si="20"/>
        <v>411358.42649842234</v>
      </c>
      <c r="F96" s="26">
        <v>911114.83</v>
      </c>
      <c r="G96" s="26">
        <v>623638.58</v>
      </c>
      <c r="H96" s="40">
        <f t="shared" si="21"/>
        <v>287476.25</v>
      </c>
      <c r="I96" s="23">
        <f t="shared" si="22"/>
        <v>0.6844785744514772</v>
      </c>
    </row>
    <row r="97" spans="1:9" ht="15">
      <c r="A97" s="1" t="s">
        <v>21</v>
      </c>
      <c r="B97" s="19">
        <f t="shared" si="18"/>
        <v>268898.03</v>
      </c>
      <c r="C97" s="19">
        <f t="shared" si="19"/>
        <v>269507.72079835477</v>
      </c>
      <c r="D97" s="19">
        <v>463770.85</v>
      </c>
      <c r="E97" s="19">
        <f t="shared" si="20"/>
        <v>464822.38920164516</v>
      </c>
      <c r="F97" s="26">
        <v>732668.88</v>
      </c>
      <c r="G97" s="26">
        <v>734330.11</v>
      </c>
      <c r="H97" s="40">
        <f t="shared" si="21"/>
        <v>-1661.2299999999814</v>
      </c>
      <c r="I97" s="23">
        <f t="shared" si="22"/>
        <v>1.0022673680367042</v>
      </c>
    </row>
    <row r="98" spans="1:8" ht="15">
      <c r="A98" s="1" t="s">
        <v>10</v>
      </c>
      <c r="B98" s="19">
        <f aca="true" t="shared" si="23" ref="B98:G98">SUM(B86:B97)</f>
        <v>3231111.7</v>
      </c>
      <c r="C98" s="19">
        <f t="shared" si="23"/>
        <v>3264971.6272581997</v>
      </c>
      <c r="D98" s="19">
        <f t="shared" si="23"/>
        <v>4802710.67</v>
      </c>
      <c r="E98" s="19">
        <f t="shared" si="23"/>
        <v>4515524.8027418</v>
      </c>
      <c r="F98" s="26">
        <f t="shared" si="23"/>
        <v>8033822.369999999</v>
      </c>
      <c r="G98" s="39">
        <f t="shared" si="23"/>
        <v>7780496.43</v>
      </c>
      <c r="H98" s="11"/>
    </row>
    <row r="99" spans="1:8" ht="15">
      <c r="A99" s="12"/>
      <c r="B99" s="27"/>
      <c r="C99" s="27"/>
      <c r="D99" s="27"/>
      <c r="E99" s="27"/>
      <c r="F99" s="28"/>
      <c r="G99" s="28"/>
      <c r="H99" s="11"/>
    </row>
    <row r="100" spans="1:8" ht="15">
      <c r="A100" s="5" t="str">
        <f>A83</f>
        <v>Рощинская дом 17</v>
      </c>
      <c r="B100" s="20" t="s">
        <v>8</v>
      </c>
      <c r="C100" s="20" t="s">
        <v>9</v>
      </c>
      <c r="D100" s="20" t="s">
        <v>26</v>
      </c>
      <c r="E100" s="19" t="s">
        <v>27</v>
      </c>
      <c r="F100" s="19" t="s">
        <v>43</v>
      </c>
      <c r="G100" s="19" t="s">
        <v>44</v>
      </c>
      <c r="H100" s="11"/>
    </row>
    <row r="101" spans="1:8" ht="15.75">
      <c r="A101" s="5" t="s">
        <v>30</v>
      </c>
      <c r="B101" s="19">
        <v>9888234.49</v>
      </c>
      <c r="C101" s="19">
        <v>9331194.67</v>
      </c>
      <c r="D101" s="21">
        <f>B101-C101</f>
        <v>557039.8200000003</v>
      </c>
      <c r="E101" s="165">
        <f>D101+D102</f>
        <v>810365.7599999998</v>
      </c>
      <c r="F101" s="152">
        <v>-56245.64</v>
      </c>
      <c r="G101" s="165">
        <f>E101+F101</f>
        <v>754120.1199999998</v>
      </c>
      <c r="H101" s="11"/>
    </row>
    <row r="102" spans="1:8" ht="15.75">
      <c r="A102" s="5" t="s">
        <v>25</v>
      </c>
      <c r="B102" s="19">
        <f>F98</f>
        <v>8033822.369999999</v>
      </c>
      <c r="C102" s="19">
        <f>G98</f>
        <v>7780496.43</v>
      </c>
      <c r="D102" s="21">
        <f>B102-C102</f>
        <v>253325.93999999948</v>
      </c>
      <c r="E102" s="165"/>
      <c r="F102" s="152"/>
      <c r="G102" s="165"/>
      <c r="H102" s="11"/>
    </row>
    <row r="103" spans="1:8" ht="15">
      <c r="A103" s="11"/>
      <c r="B103" s="12"/>
      <c r="C103" s="12"/>
      <c r="D103" s="12"/>
      <c r="E103" s="12"/>
      <c r="F103" s="11"/>
      <c r="G103" s="11"/>
      <c r="H103" s="11"/>
    </row>
    <row r="104" spans="1:2" ht="18.75">
      <c r="A104" s="150" t="s">
        <v>40</v>
      </c>
      <c r="B104" s="151"/>
    </row>
    <row r="105" spans="1:7" ht="21">
      <c r="A105" s="194" t="s">
        <v>12</v>
      </c>
      <c r="B105" s="195"/>
      <c r="C105" s="195"/>
      <c r="D105" s="195"/>
      <c r="E105" s="195"/>
      <c r="F105" s="195"/>
      <c r="G105" s="195"/>
    </row>
    <row r="106" spans="1:7" ht="15">
      <c r="A106" s="1"/>
      <c r="B106" s="146" t="s">
        <v>0</v>
      </c>
      <c r="C106" s="146"/>
      <c r="D106" s="146" t="s">
        <v>1</v>
      </c>
      <c r="E106" s="146"/>
      <c r="F106" s="146" t="s">
        <v>2</v>
      </c>
      <c r="G106" s="146"/>
    </row>
    <row r="107" spans="1:7" ht="15">
      <c r="A107" s="1"/>
      <c r="B107" s="53" t="s">
        <v>8</v>
      </c>
      <c r="C107" s="53" t="s">
        <v>9</v>
      </c>
      <c r="D107" s="53" t="s">
        <v>8</v>
      </c>
      <c r="E107" s="53" t="s">
        <v>9</v>
      </c>
      <c r="F107" s="53" t="s">
        <v>8</v>
      </c>
      <c r="G107" s="53" t="s">
        <v>9</v>
      </c>
    </row>
    <row r="108" spans="1:9" ht="15">
      <c r="A108" s="1" t="s">
        <v>3</v>
      </c>
      <c r="B108" s="19">
        <f aca="true" t="shared" si="24" ref="B108:B119">F108-D108</f>
        <v>116334.33999999997</v>
      </c>
      <c r="C108" s="19">
        <f>B108*I108</f>
        <v>40239.81140571358</v>
      </c>
      <c r="D108" s="19">
        <v>389847.65</v>
      </c>
      <c r="E108" s="19">
        <f>D108*I108</f>
        <v>134847.50859428645</v>
      </c>
      <c r="F108" s="39">
        <v>506181.99</v>
      </c>
      <c r="G108" s="19">
        <v>175087.32</v>
      </c>
      <c r="H108" s="40">
        <f>F108-G108</f>
        <v>331094.67</v>
      </c>
      <c r="I108" s="10">
        <f>(G108*100)/F108/100</f>
        <v>0.345897964485066</v>
      </c>
    </row>
    <row r="109" spans="1:9" ht="15">
      <c r="A109" s="1" t="s">
        <v>4</v>
      </c>
      <c r="B109" s="19">
        <f t="shared" si="24"/>
        <v>98773.57999999999</v>
      </c>
      <c r="C109" s="19">
        <f aca="true" t="shared" si="25" ref="C109:C119">B109*I109</f>
        <v>82684.39952080662</v>
      </c>
      <c r="D109" s="19">
        <v>255379.91</v>
      </c>
      <c r="E109" s="19">
        <f aca="true" t="shared" si="26" ref="E109:E119">D109*I109</f>
        <v>213781.20047919333</v>
      </c>
      <c r="F109" s="39">
        <v>354153.49</v>
      </c>
      <c r="G109" s="19">
        <v>296465.6</v>
      </c>
      <c r="H109" s="40">
        <f aca="true" t="shared" si="27" ref="H109:H119">F109-G109</f>
        <v>57687.890000000014</v>
      </c>
      <c r="I109" s="10">
        <f aca="true" t="shared" si="28" ref="I109:I119">(G109*100)/F109/100</f>
        <v>0.8371104856258792</v>
      </c>
    </row>
    <row r="110" spans="1:9" ht="15">
      <c r="A110" s="1" t="s">
        <v>5</v>
      </c>
      <c r="B110" s="19">
        <f t="shared" si="24"/>
        <v>98773.58000000002</v>
      </c>
      <c r="C110" s="19">
        <f t="shared" si="25"/>
        <v>109893.93846263041</v>
      </c>
      <c r="D110" s="19">
        <v>215106.57</v>
      </c>
      <c r="E110" s="19">
        <f t="shared" si="26"/>
        <v>239324.2015373696</v>
      </c>
      <c r="F110" s="39">
        <v>313880.15</v>
      </c>
      <c r="G110" s="19">
        <v>349218.14</v>
      </c>
      <c r="H110" s="40">
        <f t="shared" si="27"/>
        <v>-35337.98999999999</v>
      </c>
      <c r="I110" s="10">
        <f t="shared" si="28"/>
        <v>1.1125843415074192</v>
      </c>
    </row>
    <row r="111" spans="1:9" ht="15">
      <c r="A111" s="1" t="s">
        <v>6</v>
      </c>
      <c r="B111" s="19">
        <f t="shared" si="24"/>
        <v>98379.93</v>
      </c>
      <c r="C111" s="19">
        <f t="shared" si="25"/>
        <v>84927.08954153232</v>
      </c>
      <c r="D111" s="19">
        <v>285372.31</v>
      </c>
      <c r="E111" s="19">
        <f t="shared" si="26"/>
        <v>246349.4304584677</v>
      </c>
      <c r="F111" s="39">
        <v>383752.24</v>
      </c>
      <c r="G111" s="19">
        <v>331276.52</v>
      </c>
      <c r="H111" s="40">
        <f t="shared" si="27"/>
        <v>52475.71999999997</v>
      </c>
      <c r="I111" s="10">
        <f t="shared" si="28"/>
        <v>0.863256250960255</v>
      </c>
    </row>
    <row r="112" spans="1:9" ht="15">
      <c r="A112" s="1" t="s">
        <v>7</v>
      </c>
      <c r="B112" s="19">
        <f t="shared" si="24"/>
        <v>110683.57</v>
      </c>
      <c r="C112" s="19">
        <f t="shared" si="25"/>
        <v>107316.48159812657</v>
      </c>
      <c r="D112" s="19">
        <v>204931.86</v>
      </c>
      <c r="E112" s="19">
        <f t="shared" si="26"/>
        <v>198697.65840187346</v>
      </c>
      <c r="F112" s="39">
        <v>315615.43</v>
      </c>
      <c r="G112" s="19">
        <v>306014.14</v>
      </c>
      <c r="H112" s="40">
        <f t="shared" si="27"/>
        <v>9601.289999999979</v>
      </c>
      <c r="I112" s="10">
        <f t="shared" si="28"/>
        <v>0.9695791489028278</v>
      </c>
    </row>
    <row r="113" spans="1:9" ht="15">
      <c r="A113" s="1" t="s">
        <v>14</v>
      </c>
      <c r="B113" s="19">
        <f t="shared" si="24"/>
        <v>102054.54999999999</v>
      </c>
      <c r="C113" s="19">
        <f t="shared" si="25"/>
        <v>98991.41996511379</v>
      </c>
      <c r="D113" s="19">
        <v>143581.29</v>
      </c>
      <c r="E113" s="19">
        <f t="shared" si="26"/>
        <v>139271.7500348862</v>
      </c>
      <c r="F113" s="39">
        <v>245635.84</v>
      </c>
      <c r="G113" s="26">
        <v>238263.17</v>
      </c>
      <c r="H113" s="40">
        <f t="shared" si="27"/>
        <v>7372.669999999984</v>
      </c>
      <c r="I113" s="10">
        <f t="shared" si="28"/>
        <v>0.9699853653277958</v>
      </c>
    </row>
    <row r="114" spans="1:9" ht="16.5" customHeight="1">
      <c r="A114" s="1" t="s">
        <v>15</v>
      </c>
      <c r="B114" s="19">
        <f t="shared" si="24"/>
        <v>101269.09</v>
      </c>
      <c r="C114" s="19">
        <f t="shared" si="25"/>
        <v>177016.3717231406</v>
      </c>
      <c r="D114" s="19">
        <v>62600.94</v>
      </c>
      <c r="E114" s="19">
        <f t="shared" si="26"/>
        <v>109425.20827685941</v>
      </c>
      <c r="F114" s="39">
        <v>163870.03</v>
      </c>
      <c r="G114" s="26">
        <v>286441.58</v>
      </c>
      <c r="H114" s="40">
        <f t="shared" si="27"/>
        <v>-122571.55000000002</v>
      </c>
      <c r="I114" s="10">
        <f t="shared" si="28"/>
        <v>1.7479802743674362</v>
      </c>
    </row>
    <row r="115" spans="1:9" ht="16.5" customHeight="1">
      <c r="A115" s="1" t="s">
        <v>16</v>
      </c>
      <c r="B115" s="19">
        <f t="shared" si="24"/>
        <v>101269.08999999998</v>
      </c>
      <c r="C115" s="19">
        <f t="shared" si="25"/>
        <v>120285.9252385975</v>
      </c>
      <c r="D115" s="19">
        <v>85438.02</v>
      </c>
      <c r="E115" s="19">
        <f t="shared" si="26"/>
        <v>101482.01476140252</v>
      </c>
      <c r="F115" s="39">
        <v>186707.11</v>
      </c>
      <c r="G115" s="26">
        <v>221767.94</v>
      </c>
      <c r="H115" s="40">
        <f t="shared" si="27"/>
        <v>-35060.830000000016</v>
      </c>
      <c r="I115" s="10">
        <f t="shared" si="28"/>
        <v>1.1877851893267484</v>
      </c>
    </row>
    <row r="116" spans="1:9" ht="16.5" customHeight="1">
      <c r="A116" s="1" t="s">
        <v>17</v>
      </c>
      <c r="B116" s="19">
        <f t="shared" si="24"/>
        <v>101269.08999999998</v>
      </c>
      <c r="C116" s="19">
        <f t="shared" si="25"/>
        <v>71143.67042672564</v>
      </c>
      <c r="D116" s="19">
        <v>122596.52</v>
      </c>
      <c r="E116" s="19">
        <f t="shared" si="26"/>
        <v>86126.63957327434</v>
      </c>
      <c r="F116" s="39">
        <v>223865.61</v>
      </c>
      <c r="G116" s="26">
        <v>157270.31</v>
      </c>
      <c r="H116" s="40">
        <f t="shared" si="27"/>
        <v>66595.29999999999</v>
      </c>
      <c r="I116" s="10">
        <f t="shared" si="28"/>
        <v>0.7025210794994372</v>
      </c>
    </row>
    <row r="117" spans="1:9" ht="16.5" customHeight="1">
      <c r="A117" s="1" t="s">
        <v>18</v>
      </c>
      <c r="B117" s="19">
        <f t="shared" si="24"/>
        <v>101269.09000000001</v>
      </c>
      <c r="C117" s="19">
        <f t="shared" si="25"/>
        <v>107647.48085953305</v>
      </c>
      <c r="D117" s="19">
        <v>80175.01</v>
      </c>
      <c r="E117" s="19">
        <f t="shared" si="26"/>
        <v>85224.79914046694</v>
      </c>
      <c r="F117" s="39">
        <v>181444.1</v>
      </c>
      <c r="G117" s="26">
        <v>192872.28</v>
      </c>
      <c r="H117" s="40">
        <f t="shared" si="27"/>
        <v>-11428.179999999993</v>
      </c>
      <c r="I117" s="10">
        <f t="shared" si="28"/>
        <v>1.0629845776192226</v>
      </c>
    </row>
    <row r="118" spans="1:9" ht="16.5" customHeight="1">
      <c r="A118" s="1" t="s">
        <v>20</v>
      </c>
      <c r="B118" s="19">
        <f t="shared" si="24"/>
        <v>101269.08999999997</v>
      </c>
      <c r="C118" s="19">
        <f t="shared" si="25"/>
        <v>89926.04165463023</v>
      </c>
      <c r="D118" s="19">
        <v>229826.57</v>
      </c>
      <c r="E118" s="19">
        <f t="shared" si="26"/>
        <v>204083.92834536973</v>
      </c>
      <c r="F118" s="39">
        <v>331095.66</v>
      </c>
      <c r="G118" s="26">
        <v>294009.97</v>
      </c>
      <c r="H118" s="40">
        <f t="shared" si="27"/>
        <v>37085.69</v>
      </c>
      <c r="I118" s="10">
        <f t="shared" si="28"/>
        <v>0.8879910114194791</v>
      </c>
    </row>
    <row r="119" spans="1:9" ht="16.5" customHeight="1">
      <c r="A119" s="1" t="s">
        <v>21</v>
      </c>
      <c r="B119" s="19">
        <f t="shared" si="24"/>
        <v>101269.09</v>
      </c>
      <c r="C119" s="19">
        <f t="shared" si="25"/>
        <v>106364.64650160391</v>
      </c>
      <c r="D119" s="19">
        <v>200945.09</v>
      </c>
      <c r="E119" s="19">
        <f t="shared" si="26"/>
        <v>211056.04349839606</v>
      </c>
      <c r="F119" s="39">
        <v>302214.18</v>
      </c>
      <c r="G119" s="26">
        <v>317420.69</v>
      </c>
      <c r="H119" s="40">
        <f t="shared" si="27"/>
        <v>-15206.51000000001</v>
      </c>
      <c r="I119" s="10">
        <f t="shared" si="28"/>
        <v>1.0503169970383255</v>
      </c>
    </row>
    <row r="120" spans="1:7" ht="16.5" customHeight="1">
      <c r="A120" s="13" t="s">
        <v>10</v>
      </c>
      <c r="B120" s="19">
        <f aca="true" t="shared" si="29" ref="B120:G120">SUM(B108:B119)</f>
        <v>1232614.09</v>
      </c>
      <c r="C120" s="19">
        <f t="shared" si="29"/>
        <v>1196437.2768981543</v>
      </c>
      <c r="D120" s="19">
        <f t="shared" si="29"/>
        <v>2275801.74</v>
      </c>
      <c r="E120" s="19">
        <f t="shared" si="29"/>
        <v>1969670.3831018456</v>
      </c>
      <c r="F120" s="39">
        <f t="shared" si="29"/>
        <v>3508415.8299999996</v>
      </c>
      <c r="G120" s="26">
        <f t="shared" si="29"/>
        <v>3166107.6599999997</v>
      </c>
    </row>
    <row r="121" spans="4:6" ht="16.5" customHeight="1">
      <c r="D121" s="42"/>
      <c r="E121" s="43"/>
      <c r="F121" s="42"/>
    </row>
    <row r="122" spans="1:7" ht="16.5" customHeight="1">
      <c r="A122" s="5" t="s">
        <v>29</v>
      </c>
      <c r="B122" s="17" t="s">
        <v>8</v>
      </c>
      <c r="C122" s="17" t="s">
        <v>9</v>
      </c>
      <c r="D122" s="17" t="s">
        <v>26</v>
      </c>
      <c r="E122" s="17" t="s">
        <v>27</v>
      </c>
      <c r="F122" s="17" t="s">
        <v>43</v>
      </c>
      <c r="G122" s="17" t="s">
        <v>45</v>
      </c>
    </row>
    <row r="123" spans="1:7" ht="16.5" customHeight="1">
      <c r="A123" s="5" t="s">
        <v>22</v>
      </c>
      <c r="B123" s="3">
        <v>4973697.13</v>
      </c>
      <c r="C123" s="3">
        <v>4556134.78</v>
      </c>
      <c r="D123" s="18">
        <f>B123-C123</f>
        <v>417562.3499999996</v>
      </c>
      <c r="E123" s="153">
        <f>D123+D124</f>
        <v>759870.5199999996</v>
      </c>
      <c r="F123" s="163">
        <v>-6422.11</v>
      </c>
      <c r="G123" s="153">
        <f>E123+F123</f>
        <v>753448.4099999996</v>
      </c>
    </row>
    <row r="124" spans="1:7" ht="16.5" customHeight="1">
      <c r="A124" s="5" t="s">
        <v>25</v>
      </c>
      <c r="B124" s="3">
        <f>F120</f>
        <v>3508415.8299999996</v>
      </c>
      <c r="C124" s="3">
        <f>G120</f>
        <v>3166107.6599999997</v>
      </c>
      <c r="D124" s="18">
        <f>B124-C124</f>
        <v>342308.1699999999</v>
      </c>
      <c r="E124" s="154"/>
      <c r="F124" s="164"/>
      <c r="G124" s="154"/>
    </row>
    <row r="125" ht="16.5" customHeight="1"/>
    <row r="126" spans="1:2" ht="16.5" customHeight="1">
      <c r="A126" s="161" t="s">
        <v>40</v>
      </c>
      <c r="B126" s="162"/>
    </row>
    <row r="127" spans="1:7" ht="21">
      <c r="A127" s="156" t="s">
        <v>13</v>
      </c>
      <c r="B127" s="157"/>
      <c r="C127" s="157"/>
      <c r="D127" s="157"/>
      <c r="E127" s="157"/>
      <c r="F127" s="157"/>
      <c r="G127" s="157"/>
    </row>
    <row r="128" spans="1:7" ht="15">
      <c r="A128" s="1"/>
      <c r="B128" s="146" t="s">
        <v>0</v>
      </c>
      <c r="C128" s="146"/>
      <c r="D128" s="146" t="s">
        <v>1</v>
      </c>
      <c r="E128" s="146"/>
      <c r="F128" s="146" t="s">
        <v>2</v>
      </c>
      <c r="G128" s="146"/>
    </row>
    <row r="129" spans="1:7" ht="15">
      <c r="A129" s="1"/>
      <c r="B129" s="53" t="s">
        <v>8</v>
      </c>
      <c r="C129" s="53" t="s">
        <v>9</v>
      </c>
      <c r="D129" s="53" t="s">
        <v>8</v>
      </c>
      <c r="E129" s="53" t="s">
        <v>9</v>
      </c>
      <c r="F129" s="53" t="s">
        <v>8</v>
      </c>
      <c r="G129" s="53" t="s">
        <v>9</v>
      </c>
    </row>
    <row r="130" spans="1:9" ht="15">
      <c r="A130" s="1" t="s">
        <v>3</v>
      </c>
      <c r="B130" s="3">
        <f>F130-D130</f>
        <v>104380.05000000002</v>
      </c>
      <c r="C130" s="3">
        <f>B130*I130</f>
        <v>80833.41596310803</v>
      </c>
      <c r="D130" s="32">
        <v>44764.59</v>
      </c>
      <c r="E130" s="3">
        <f>D130*I130</f>
        <v>34666.34403689196</v>
      </c>
      <c r="F130" s="24">
        <v>149144.64</v>
      </c>
      <c r="G130" s="3">
        <v>115499.76</v>
      </c>
      <c r="H130" s="4">
        <f aca="true" t="shared" si="30" ref="H130:H141">F130-G130</f>
        <v>33644.88000000002</v>
      </c>
      <c r="I130" s="10">
        <f>(G130*100)/F130/100</f>
        <v>0.7744144207931306</v>
      </c>
    </row>
    <row r="131" spans="1:9" ht="15">
      <c r="A131" s="1" t="s">
        <v>4</v>
      </c>
      <c r="B131" s="3">
        <f>F131-D131</f>
        <v>98405.56</v>
      </c>
      <c r="C131" s="3">
        <f aca="true" t="shared" si="31" ref="C131:C141">B131*I131</f>
        <v>75915.79629460514</v>
      </c>
      <c r="D131" s="32">
        <v>49111.35</v>
      </c>
      <c r="E131" s="3">
        <f aca="true" t="shared" si="32" ref="E131:E141">D131*I131</f>
        <v>37887.363705394855</v>
      </c>
      <c r="F131" s="24">
        <v>147516.91</v>
      </c>
      <c r="G131" s="3">
        <v>113803.16</v>
      </c>
      <c r="H131" s="4">
        <f t="shared" si="30"/>
        <v>33713.75</v>
      </c>
      <c r="I131" s="10">
        <f aca="true" t="shared" si="33" ref="I131:I141">(G131*100)/F131/100</f>
        <v>0.771458404328019</v>
      </c>
    </row>
    <row r="132" spans="1:9" ht="15">
      <c r="A132" s="1" t="s">
        <v>5</v>
      </c>
      <c r="B132" s="3">
        <f aca="true" t="shared" si="34" ref="B132:B141">F132-D132</f>
        <v>108719.24999999999</v>
      </c>
      <c r="C132" s="3">
        <f t="shared" si="31"/>
        <v>90831.43835655438</v>
      </c>
      <c r="D132" s="32">
        <v>35641.11</v>
      </c>
      <c r="E132" s="3">
        <f t="shared" si="32"/>
        <v>29777.001643445616</v>
      </c>
      <c r="F132" s="24">
        <v>144360.36</v>
      </c>
      <c r="G132" s="3">
        <v>120608.44</v>
      </c>
      <c r="H132" s="4">
        <f t="shared" si="30"/>
        <v>23751.919999999984</v>
      </c>
      <c r="I132" s="10">
        <f t="shared" si="33"/>
        <v>0.8354678528094556</v>
      </c>
    </row>
    <row r="133" spans="1:9" ht="15">
      <c r="A133" s="1" t="s">
        <v>6</v>
      </c>
      <c r="B133" s="3">
        <f t="shared" si="34"/>
        <v>100702.45999999999</v>
      </c>
      <c r="C133" s="3">
        <f t="shared" si="31"/>
        <v>116352.85813733713</v>
      </c>
      <c r="D133" s="32">
        <v>32899.28</v>
      </c>
      <c r="E133" s="3">
        <f t="shared" si="32"/>
        <v>38012.23186266287</v>
      </c>
      <c r="F133" s="24">
        <v>133601.74</v>
      </c>
      <c r="G133" s="3">
        <v>154365.09</v>
      </c>
      <c r="H133" s="4">
        <f t="shared" si="30"/>
        <v>-20763.350000000006</v>
      </c>
      <c r="I133" s="10">
        <f t="shared" si="33"/>
        <v>1.1554122723251958</v>
      </c>
    </row>
    <row r="134" spans="1:9" ht="15">
      <c r="A134" s="1" t="s">
        <v>7</v>
      </c>
      <c r="B134" s="3">
        <f t="shared" si="34"/>
        <v>103594.20999999999</v>
      </c>
      <c r="C134" s="3">
        <f t="shared" si="31"/>
        <v>60001.88309098126</v>
      </c>
      <c r="D134" s="32">
        <v>62413.72</v>
      </c>
      <c r="E134" s="3">
        <f t="shared" si="32"/>
        <v>36150.09690901875</v>
      </c>
      <c r="F134" s="24">
        <v>166007.93</v>
      </c>
      <c r="G134" s="3">
        <v>96151.98</v>
      </c>
      <c r="H134" s="4">
        <f t="shared" si="30"/>
        <v>69855.95</v>
      </c>
      <c r="I134" s="10">
        <f t="shared" si="33"/>
        <v>0.5792011261148791</v>
      </c>
    </row>
    <row r="135" spans="1:9" ht="15">
      <c r="A135" s="1" t="s">
        <v>14</v>
      </c>
      <c r="B135" s="3">
        <f t="shared" si="34"/>
        <v>103444.20999999999</v>
      </c>
      <c r="C135" s="3">
        <f t="shared" si="31"/>
        <v>174254.76913624982</v>
      </c>
      <c r="D135" s="32">
        <v>11907.43</v>
      </c>
      <c r="E135" s="3">
        <f t="shared" si="32"/>
        <v>20058.41086375018</v>
      </c>
      <c r="F135" s="24">
        <v>115351.64</v>
      </c>
      <c r="G135" s="25">
        <v>194313.18</v>
      </c>
      <c r="H135" s="4">
        <f t="shared" si="30"/>
        <v>-78961.54</v>
      </c>
      <c r="I135" s="10">
        <f t="shared" si="33"/>
        <v>1.6845289759209319</v>
      </c>
    </row>
    <row r="136" spans="1:9" ht="15">
      <c r="A136" s="1" t="s">
        <v>15</v>
      </c>
      <c r="B136" s="3">
        <f t="shared" si="34"/>
        <v>108467.43</v>
      </c>
      <c r="C136" s="3">
        <f t="shared" si="31"/>
        <v>104196.60698402826</v>
      </c>
      <c r="D136" s="32">
        <v>37767.76</v>
      </c>
      <c r="E136" s="3">
        <f t="shared" si="32"/>
        <v>36280.683015971736</v>
      </c>
      <c r="F136" s="24">
        <v>146235.19</v>
      </c>
      <c r="G136" s="25">
        <v>140477.29</v>
      </c>
      <c r="H136" s="4">
        <f t="shared" si="30"/>
        <v>5757.899999999994</v>
      </c>
      <c r="I136" s="10">
        <f t="shared" si="33"/>
        <v>0.9606257563586439</v>
      </c>
    </row>
    <row r="137" spans="1:9" ht="15">
      <c r="A137" s="1" t="s">
        <v>16</v>
      </c>
      <c r="B137" s="3">
        <f t="shared" si="34"/>
        <v>103899.26999999999</v>
      </c>
      <c r="C137" s="3">
        <f t="shared" si="31"/>
        <v>80682.53210859324</v>
      </c>
      <c r="D137" s="32">
        <v>50833.94</v>
      </c>
      <c r="E137" s="3">
        <f t="shared" si="32"/>
        <v>39474.877891406766</v>
      </c>
      <c r="F137" s="24">
        <v>154733.21</v>
      </c>
      <c r="G137" s="25">
        <v>120157.41</v>
      </c>
      <c r="H137" s="4">
        <f t="shared" si="30"/>
        <v>34575.79999999999</v>
      </c>
      <c r="I137" s="10">
        <f t="shared" si="33"/>
        <v>0.7765457072854626</v>
      </c>
    </row>
    <row r="138" spans="1:9" ht="15">
      <c r="A138" s="1" t="s">
        <v>17</v>
      </c>
      <c r="B138" s="3">
        <f t="shared" si="34"/>
        <v>104049.26000000001</v>
      </c>
      <c r="C138" s="3">
        <f t="shared" si="31"/>
        <v>82935.82254544176</v>
      </c>
      <c r="D138" s="32">
        <v>43410.96</v>
      </c>
      <c r="E138" s="3">
        <f t="shared" si="32"/>
        <v>34602.10745455825</v>
      </c>
      <c r="F138" s="24">
        <v>147460.22</v>
      </c>
      <c r="G138" s="25">
        <v>117537.93</v>
      </c>
      <c r="H138" s="4">
        <f t="shared" si="30"/>
        <v>29922.290000000008</v>
      </c>
      <c r="I138" s="10">
        <f t="shared" si="33"/>
        <v>0.7970822910748404</v>
      </c>
    </row>
    <row r="139" spans="1:9" ht="15">
      <c r="A139" s="1" t="s">
        <v>18</v>
      </c>
      <c r="B139" s="3">
        <f t="shared" si="34"/>
        <v>112056.23000000001</v>
      </c>
      <c r="C139" s="3">
        <f t="shared" si="31"/>
        <v>100094.51394075147</v>
      </c>
      <c r="D139" s="32">
        <v>78658.97</v>
      </c>
      <c r="E139" s="3">
        <f t="shared" si="32"/>
        <v>70262.32605924856</v>
      </c>
      <c r="F139" s="25">
        <v>190715.2</v>
      </c>
      <c r="G139" s="25">
        <v>170356.84</v>
      </c>
      <c r="H139" s="4">
        <f t="shared" si="30"/>
        <v>20358.360000000015</v>
      </c>
      <c r="I139" s="10">
        <f t="shared" si="33"/>
        <v>0.8932525566918631</v>
      </c>
    </row>
    <row r="140" spans="1:9" ht="15">
      <c r="A140" s="1" t="s">
        <v>20</v>
      </c>
      <c r="B140" s="3">
        <f t="shared" si="34"/>
        <v>104576.93</v>
      </c>
      <c r="C140" s="3">
        <f t="shared" si="31"/>
        <v>83737.46804185669</v>
      </c>
      <c r="D140" s="32">
        <v>57103.73</v>
      </c>
      <c r="E140" s="3">
        <f t="shared" si="32"/>
        <v>45724.44195814329</v>
      </c>
      <c r="F140" s="3">
        <v>161680.66</v>
      </c>
      <c r="G140" s="25">
        <v>129461.91</v>
      </c>
      <c r="H140" s="4">
        <f t="shared" si="30"/>
        <v>32218.75</v>
      </c>
      <c r="I140" s="10">
        <f t="shared" si="33"/>
        <v>0.8007260113856536</v>
      </c>
    </row>
    <row r="141" spans="1:9" ht="15">
      <c r="A141" s="1" t="s">
        <v>21</v>
      </c>
      <c r="B141" s="3">
        <f t="shared" si="34"/>
        <v>108283.63999999998</v>
      </c>
      <c r="C141" s="3">
        <f t="shared" si="31"/>
        <v>85517.98027302805</v>
      </c>
      <c r="D141" s="32">
        <v>67032.41</v>
      </c>
      <c r="E141" s="3">
        <f t="shared" si="32"/>
        <v>52939.44972697196</v>
      </c>
      <c r="F141" s="3">
        <f>171560.99+3755.06</f>
        <v>175316.05</v>
      </c>
      <c r="G141" s="25">
        <v>138457.43</v>
      </c>
      <c r="H141" s="4">
        <f t="shared" si="30"/>
        <v>36858.619999999995</v>
      </c>
      <c r="I141" s="10">
        <f t="shared" si="33"/>
        <v>0.7897590095145312</v>
      </c>
    </row>
    <row r="142" spans="1:8" ht="15">
      <c r="A142" s="1" t="s">
        <v>10</v>
      </c>
      <c r="B142" s="33">
        <f aca="true" t="shared" si="35" ref="B142:G142">SUM(B130:B141)</f>
        <v>1260578.4999999998</v>
      </c>
      <c r="C142" s="33">
        <f t="shared" si="35"/>
        <v>1135355.0848725354</v>
      </c>
      <c r="D142" s="33">
        <f t="shared" si="35"/>
        <v>571545.25</v>
      </c>
      <c r="E142" s="33">
        <f t="shared" si="35"/>
        <v>475835.3351274648</v>
      </c>
      <c r="F142" s="50">
        <f t="shared" si="35"/>
        <v>1832123.75</v>
      </c>
      <c r="G142" s="51">
        <f t="shared" si="35"/>
        <v>1611190.4199999997</v>
      </c>
      <c r="H142" s="23"/>
    </row>
    <row r="143" spans="1:8" ht="15">
      <c r="A143" s="11"/>
      <c r="B143" s="22"/>
      <c r="C143" s="22"/>
      <c r="D143" s="22"/>
      <c r="E143" s="22"/>
      <c r="F143" s="23"/>
      <c r="G143" s="23"/>
      <c r="H143" s="23"/>
    </row>
    <row r="144" spans="1:8" ht="15">
      <c r="A144" s="5" t="s">
        <v>29</v>
      </c>
      <c r="B144" s="17" t="s">
        <v>8</v>
      </c>
      <c r="C144" s="17" t="s">
        <v>9</v>
      </c>
      <c r="D144" s="17" t="s">
        <v>26</v>
      </c>
      <c r="E144" s="1" t="s">
        <v>27</v>
      </c>
      <c r="F144" s="23"/>
      <c r="G144" s="23"/>
      <c r="H144" s="23"/>
    </row>
    <row r="145" spans="1:8" ht="15.75">
      <c r="A145" s="5" t="s">
        <v>22</v>
      </c>
      <c r="B145" s="3">
        <v>4703492.2</v>
      </c>
      <c r="C145" s="3">
        <v>4260269.25</v>
      </c>
      <c r="D145" s="18">
        <f>B145-C145</f>
        <v>443222.9500000002</v>
      </c>
      <c r="E145" s="153">
        <f>D145+D146</f>
        <v>664156.2800000005</v>
      </c>
      <c r="F145" s="23"/>
      <c r="G145" s="23"/>
      <c r="H145" s="23"/>
    </row>
    <row r="146" spans="1:5" ht="15.75">
      <c r="A146" s="5" t="s">
        <v>25</v>
      </c>
      <c r="B146" s="3">
        <f>F142</f>
        <v>1832123.75</v>
      </c>
      <c r="C146" s="3">
        <f>G142</f>
        <v>1611190.4199999997</v>
      </c>
      <c r="D146" s="18">
        <f>B146-C146</f>
        <v>220933.3300000003</v>
      </c>
      <c r="E146" s="154"/>
    </row>
    <row r="148" spans="5:6" ht="15">
      <c r="E148" s="30"/>
      <c r="F148" s="4"/>
    </row>
    <row r="150" spans="5:6" ht="15">
      <c r="E150" s="4"/>
      <c r="F150" s="4"/>
    </row>
    <row r="153" spans="2:8" ht="15">
      <c r="B153" s="103"/>
      <c r="H153" s="103"/>
    </row>
    <row r="154" spans="1:8" ht="18.75">
      <c r="A154" s="166" t="s">
        <v>108</v>
      </c>
      <c r="B154" s="166"/>
      <c r="C154" s="166"/>
      <c r="D154" s="166"/>
      <c r="E154" s="166"/>
      <c r="F154" s="167"/>
      <c r="H154" s="103"/>
    </row>
    <row r="155" spans="1:8" ht="30">
      <c r="A155" s="115"/>
      <c r="B155" s="120" t="s">
        <v>72</v>
      </c>
      <c r="C155" s="120" t="s">
        <v>73</v>
      </c>
      <c r="D155" s="116" t="s">
        <v>96</v>
      </c>
      <c r="E155" s="113"/>
      <c r="F155" s="34"/>
      <c r="H155" s="103"/>
    </row>
    <row r="156" spans="1:8" ht="30">
      <c r="A156" s="48" t="s">
        <v>100</v>
      </c>
      <c r="B156" s="88">
        <f>398437.46-8409.62+13044.79+7.9-29531.97+2097.12-242.46+232.64</f>
        <v>375635.86000000004</v>
      </c>
      <c r="C156" s="91"/>
      <c r="D156" s="92">
        <f>B156-C156</f>
        <v>375635.86000000004</v>
      </c>
      <c r="E156" s="110">
        <v>0</v>
      </c>
      <c r="F156" s="117"/>
      <c r="H156" s="103"/>
    </row>
    <row r="157" spans="1:8" ht="15">
      <c r="A157" s="48" t="s">
        <v>101</v>
      </c>
      <c r="B157" s="88">
        <f>825773.4+137456.87+32710.23+3888.42-24.21-3517.72</f>
        <v>996286.9900000001</v>
      </c>
      <c r="C157" s="91"/>
      <c r="D157" s="92">
        <f>B157-C157</f>
        <v>996286.9900000001</v>
      </c>
      <c r="E157" s="110">
        <v>0</v>
      </c>
      <c r="F157" s="117"/>
      <c r="H157" s="103"/>
    </row>
    <row r="158" spans="1:8" ht="30">
      <c r="A158" s="48" t="s">
        <v>102</v>
      </c>
      <c r="B158" s="88">
        <f>1303487.24+41810.12+263153.2+172003.06+195092.69+24043.18-12217.11-1380-5305.24-677.46-3001.96</f>
        <v>1977007.72</v>
      </c>
      <c r="C158" s="91"/>
      <c r="D158" s="92">
        <f>B158-C158</f>
        <v>1977007.72</v>
      </c>
      <c r="E158" s="110">
        <v>0</v>
      </c>
      <c r="F158" s="117"/>
      <c r="H158" s="103"/>
    </row>
    <row r="159" spans="1:8" ht="30">
      <c r="A159" s="48" t="s">
        <v>103</v>
      </c>
      <c r="B159" s="88">
        <f>605251.13+31499.71-5032.03+21254.21+1506.45-17.45-1010.43+125.57</f>
        <v>653577.1599999998</v>
      </c>
      <c r="C159" s="91"/>
      <c r="D159" s="92">
        <f>B159-C159</f>
        <v>653577.1599999998</v>
      </c>
      <c r="E159" s="118">
        <v>0</v>
      </c>
      <c r="F159" s="117"/>
      <c r="H159" s="103"/>
    </row>
    <row r="160" spans="1:8" ht="15">
      <c r="A160" s="48" t="s">
        <v>91</v>
      </c>
      <c r="B160" s="88">
        <f>2852266.19+136617.59-43196.41-679.1</f>
        <v>2945008.2699999996</v>
      </c>
      <c r="C160" s="91"/>
      <c r="D160" s="92">
        <f>B160-C160</f>
        <v>2945008.2699999996</v>
      </c>
      <c r="E160" s="118">
        <v>0</v>
      </c>
      <c r="F160" s="117"/>
      <c r="H160" s="103"/>
    </row>
    <row r="161" spans="1:8" ht="30">
      <c r="A161" s="48" t="s">
        <v>92</v>
      </c>
      <c r="B161" s="93">
        <f>SUM(B156:B160)</f>
        <v>6947516</v>
      </c>
      <c r="C161" s="93"/>
      <c r="D161" s="94">
        <f>SUM(D156:D160)</f>
        <v>6947516</v>
      </c>
      <c r="E161" s="113"/>
      <c r="F161" s="121"/>
      <c r="H161" s="103"/>
    </row>
    <row r="162" spans="1:8" ht="15">
      <c r="A162" s="48" t="s">
        <v>106</v>
      </c>
      <c r="B162" s="93">
        <f>B161+B153</f>
        <v>6947516</v>
      </c>
      <c r="C162" s="93"/>
      <c r="D162" s="122">
        <f>D161+D153</f>
        <v>6947516</v>
      </c>
      <c r="E162" s="113"/>
      <c r="F162" s="121"/>
      <c r="H162" s="103"/>
    </row>
    <row r="163" spans="1:8" ht="15">
      <c r="A163" s="168"/>
      <c r="B163" s="169"/>
      <c r="C163" s="169"/>
      <c r="D163" s="169"/>
      <c r="E163" s="169"/>
      <c r="F163" s="170"/>
      <c r="H163" s="103"/>
    </row>
    <row r="164" spans="1:8" ht="18.75">
      <c r="A164" s="99" t="s">
        <v>94</v>
      </c>
      <c r="B164" s="100">
        <f>B162</f>
        <v>6947516</v>
      </c>
      <c r="C164" s="100">
        <f>C161+C153</f>
        <v>0</v>
      </c>
      <c r="D164" s="100">
        <f>B164-C164</f>
        <v>6947516</v>
      </c>
      <c r="E164" s="171">
        <f>B164-C164</f>
        <v>6947516</v>
      </c>
      <c r="F164" s="173"/>
      <c r="H164" s="103"/>
    </row>
    <row r="165" spans="2:8" ht="15">
      <c r="B165" s="105"/>
      <c r="C165" s="4"/>
      <c r="D165" s="4"/>
      <c r="H165" s="103"/>
    </row>
    <row r="166" spans="2:8" ht="15">
      <c r="B166" s="103"/>
      <c r="H166" s="103"/>
    </row>
    <row r="167" spans="2:8" ht="15">
      <c r="B167" s="103"/>
      <c r="H167" s="103"/>
    </row>
    <row r="168" spans="2:8" ht="15">
      <c r="B168" s="103"/>
      <c r="H168" s="103"/>
    </row>
    <row r="169" spans="2:8" ht="15">
      <c r="B169" s="103"/>
      <c r="H169" s="103"/>
    </row>
    <row r="170" spans="2:8" ht="15">
      <c r="B170" s="103"/>
      <c r="H170" s="103"/>
    </row>
    <row r="171" spans="2:8" ht="15">
      <c r="B171" s="103"/>
      <c r="H171" s="103"/>
    </row>
    <row r="172" spans="2:8" ht="15">
      <c r="B172" s="103"/>
      <c r="H172" s="103"/>
    </row>
  </sheetData>
  <sheetProtection/>
  <mergeCells count="51">
    <mergeCell ref="A154:F154"/>
    <mergeCell ref="A163:F163"/>
    <mergeCell ref="E164:F164"/>
    <mergeCell ref="A126:B126"/>
    <mergeCell ref="A127:G127"/>
    <mergeCell ref="B128:C128"/>
    <mergeCell ref="D128:E128"/>
    <mergeCell ref="F128:G128"/>
    <mergeCell ref="E145:E146"/>
    <mergeCell ref="A104:B104"/>
    <mergeCell ref="A105:G105"/>
    <mergeCell ref="B106:C106"/>
    <mergeCell ref="D106:E106"/>
    <mergeCell ref="F106:G106"/>
    <mergeCell ref="E123:E124"/>
    <mergeCell ref="F123:F124"/>
    <mergeCell ref="G123:G124"/>
    <mergeCell ref="A82:B82"/>
    <mergeCell ref="A83:G83"/>
    <mergeCell ref="B84:C84"/>
    <mergeCell ref="D84:E84"/>
    <mergeCell ref="F84:G84"/>
    <mergeCell ref="E101:E102"/>
    <mergeCell ref="F101:F102"/>
    <mergeCell ref="G101:G102"/>
    <mergeCell ref="A56:B56"/>
    <mergeCell ref="A57:G57"/>
    <mergeCell ref="B58:C58"/>
    <mergeCell ref="D58:E58"/>
    <mergeCell ref="F58:G58"/>
    <mergeCell ref="E77:E78"/>
    <mergeCell ref="A33:B33"/>
    <mergeCell ref="A34:G34"/>
    <mergeCell ref="B35:C35"/>
    <mergeCell ref="D35:E35"/>
    <mergeCell ref="F35:G35"/>
    <mergeCell ref="E54:E55"/>
    <mergeCell ref="F54:F55"/>
    <mergeCell ref="G54:G55"/>
    <mergeCell ref="C24:C25"/>
    <mergeCell ref="D24:D25"/>
    <mergeCell ref="A27:B27"/>
    <mergeCell ref="E30:E31"/>
    <mergeCell ref="F30:F31"/>
    <mergeCell ref="G30:G31"/>
    <mergeCell ref="A1:G1"/>
    <mergeCell ref="A2:G2"/>
    <mergeCell ref="B3:C3"/>
    <mergeCell ref="D3:E3"/>
    <mergeCell ref="F3:G3"/>
    <mergeCell ref="A18:D1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2014-01-24T20:34:48Z</dcterms:modified>
  <cp:category/>
  <cp:version/>
  <cp:contentType/>
  <cp:contentStatus/>
</cp:coreProperties>
</file>